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40" yWindow="0" windowWidth="10455" windowHeight="10905" tabRatio="639" activeTab="7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Checklist!$A$1:$E$26</definedName>
    <definedName name="_xlnm.Print_Area" localSheetId="12">'F7'!$B$2:$J$23</definedName>
    <definedName name="_xlnm.Print_Area" localSheetId="13">'F8'!$B$2:$J$29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01" l="1"/>
  <c r="H13" i="101"/>
  <c r="H12" i="101"/>
  <c r="H11" i="101"/>
  <c r="H10" i="101"/>
  <c r="H14" i="101" s="1"/>
  <c r="H9" i="101"/>
  <c r="H8" i="101"/>
  <c r="D9" i="109" l="1"/>
  <c r="D18" i="109" s="1"/>
  <c r="B3" i="71"/>
  <c r="H2" i="91"/>
  <c r="E36" i="67"/>
  <c r="F36" i="67"/>
  <c r="D36" i="67"/>
  <c r="E38" i="68"/>
  <c r="F38" i="68"/>
  <c r="D38" i="68"/>
  <c r="F35" i="103"/>
  <c r="E35" i="103"/>
  <c r="F18" i="69"/>
  <c r="E18" i="69"/>
  <c r="D18" i="69"/>
  <c r="P23" i="91"/>
  <c r="P27" i="91" s="1"/>
  <c r="P19" i="91"/>
  <c r="P17" i="91"/>
  <c r="P14" i="91"/>
  <c r="P13" i="91"/>
  <c r="P12" i="91"/>
  <c r="A7" i="91"/>
  <c r="A8" i="91" s="1"/>
  <c r="A9" i="91" s="1"/>
  <c r="A10" i="91" s="1"/>
  <c r="A11" i="91" s="1"/>
  <c r="A12" i="91" s="1"/>
  <c r="A13" i="91" s="1"/>
  <c r="A14" i="91" s="1"/>
  <c r="A15" i="91" s="1"/>
  <c r="A16" i="91" s="1"/>
  <c r="A17" i="91" s="1"/>
  <c r="A18" i="91" s="1"/>
  <c r="A19" i="91" s="1"/>
  <c r="A20" i="91" s="1"/>
  <c r="A21" i="91" s="1"/>
  <c r="A22" i="91" s="1"/>
  <c r="A23" i="91" s="1"/>
  <c r="A24" i="91" s="1"/>
  <c r="A27" i="91" s="1"/>
  <c r="A28" i="91" s="1"/>
  <c r="E48" i="103" l="1"/>
  <c r="F48" i="103"/>
  <c r="D48" i="103"/>
  <c r="E47" i="103"/>
  <c r="E49" i="103" s="1"/>
  <c r="F47" i="103"/>
  <c r="F49" i="103" s="1"/>
  <c r="D47" i="103"/>
  <c r="D49" i="103" s="1"/>
  <c r="E45" i="103"/>
  <c r="F45" i="103"/>
  <c r="D45" i="103"/>
  <c r="E43" i="103"/>
  <c r="F43" i="103"/>
  <c r="D43" i="103"/>
  <c r="E42" i="103"/>
  <c r="F42" i="103"/>
  <c r="D42" i="103"/>
  <c r="D41" i="103"/>
  <c r="G53" i="102" l="1"/>
  <c r="K53" i="102"/>
  <c r="G37" i="102"/>
  <c r="H37" i="102"/>
  <c r="K37" i="102"/>
  <c r="L37" i="102"/>
  <c r="G21" i="102"/>
  <c r="H21" i="102"/>
  <c r="J21" i="102"/>
  <c r="K21" i="102"/>
  <c r="L21" i="102"/>
  <c r="F21" i="102"/>
  <c r="J11" i="58" l="1"/>
  <c r="O31" i="71"/>
  <c r="N33" i="71"/>
  <c r="M33" i="71"/>
  <c r="L33" i="71"/>
  <c r="K33" i="71"/>
  <c r="J33" i="71"/>
  <c r="I33" i="71"/>
  <c r="H33" i="71"/>
  <c r="G33" i="71"/>
  <c r="F33" i="71"/>
  <c r="E33" i="71"/>
  <c r="D33" i="71"/>
  <c r="C33" i="71"/>
  <c r="H21" i="71"/>
  <c r="G21" i="71"/>
  <c r="F21" i="71"/>
  <c r="E21" i="71"/>
  <c r="D21" i="71"/>
  <c r="C21" i="71"/>
  <c r="N23" i="71"/>
  <c r="M23" i="71"/>
  <c r="L23" i="71"/>
  <c r="K23" i="71"/>
  <c r="J23" i="71"/>
  <c r="I23" i="71"/>
  <c r="H19" i="71"/>
  <c r="H23" i="71" s="1"/>
  <c r="G19" i="71"/>
  <c r="G23" i="71" s="1"/>
  <c r="F19" i="71"/>
  <c r="F23" i="71" s="1"/>
  <c r="E19" i="71"/>
  <c r="E23" i="71" s="1"/>
  <c r="D19" i="71"/>
  <c r="D23" i="71" s="1"/>
  <c r="C19" i="71"/>
  <c r="C23" i="71" s="1"/>
  <c r="N11" i="71"/>
  <c r="M11" i="71"/>
  <c r="L11" i="71"/>
  <c r="K11" i="71"/>
  <c r="J11" i="71"/>
  <c r="I11" i="71"/>
  <c r="H11" i="71"/>
  <c r="G11" i="71"/>
  <c r="F11" i="71"/>
  <c r="E11" i="71"/>
  <c r="D11" i="71"/>
  <c r="C11" i="71"/>
  <c r="N9" i="71"/>
  <c r="N13" i="71" s="1"/>
  <c r="M9" i="71"/>
  <c r="M13" i="71" s="1"/>
  <c r="L9" i="71"/>
  <c r="L13" i="71" s="1"/>
  <c r="K9" i="71"/>
  <c r="K13" i="71" s="1"/>
  <c r="J9" i="71"/>
  <c r="J13" i="71" s="1"/>
  <c r="I9" i="71"/>
  <c r="I13" i="71" s="1"/>
  <c r="H9" i="71"/>
  <c r="H13" i="71" s="1"/>
  <c r="G9" i="71"/>
  <c r="G13" i="71" s="1"/>
  <c r="F9" i="71"/>
  <c r="F13" i="71" s="1"/>
  <c r="E9" i="71"/>
  <c r="E13" i="71" s="1"/>
  <c r="D9" i="71"/>
  <c r="C9" i="71"/>
  <c r="D13" i="71" l="1"/>
  <c r="O11" i="71"/>
  <c r="O21" i="71"/>
  <c r="O9" i="71"/>
  <c r="C13" i="71"/>
  <c r="O19" i="71"/>
  <c r="O29" i="71"/>
  <c r="O33" i="71" s="1"/>
  <c r="O13" i="71" l="1"/>
  <c r="O23" i="71"/>
  <c r="J29" i="106" l="1"/>
  <c r="H29" i="106"/>
  <c r="B10" i="106"/>
  <c r="B11" i="106" s="1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E29" i="106" l="1"/>
  <c r="I19" i="103" l="1"/>
  <c r="G19" i="103"/>
  <c r="L15" i="58"/>
  <c r="D3" i="64"/>
  <c r="D3" i="106"/>
  <c r="B3" i="105"/>
  <c r="E3" i="104"/>
  <c r="E3" i="103"/>
  <c r="H3" i="102"/>
  <c r="D3" i="109"/>
  <c r="E3" i="93"/>
  <c r="B3" i="69"/>
  <c r="B2" i="68"/>
  <c r="B3" i="67"/>
  <c r="F3" i="66"/>
  <c r="I13" i="66"/>
  <c r="L52" i="102"/>
  <c r="H52" i="102"/>
  <c r="H11" i="58"/>
  <c r="G11" i="58" s="1"/>
  <c r="E13" i="104"/>
  <c r="F18" i="104"/>
  <c r="F12" i="93"/>
  <c r="F11" i="93"/>
  <c r="H53" i="102" l="1"/>
  <c r="L53" i="102"/>
  <c r="L11" i="58"/>
  <c r="D13" i="93" l="1"/>
  <c r="F10" i="58" l="1"/>
  <c r="K13" i="66" l="1"/>
  <c r="F10" i="105" l="1"/>
  <c r="F11" i="105" s="1"/>
  <c r="G10" i="105"/>
  <c r="G11" i="105" s="1"/>
  <c r="H10" i="105"/>
  <c r="H11" i="105" s="1"/>
  <c r="I10" i="105"/>
  <c r="I11" i="105" s="1"/>
  <c r="J10" i="105"/>
  <c r="J11" i="105" s="1"/>
  <c r="E10" i="105"/>
  <c r="E11" i="105" s="1"/>
  <c r="F29" i="106" l="1"/>
  <c r="E9" i="105" l="1"/>
  <c r="D20" i="69"/>
  <c r="F14" i="103"/>
  <c r="E14" i="103"/>
  <c r="F13" i="103"/>
  <c r="G13" i="103"/>
  <c r="H13" i="103"/>
  <c r="I13" i="103"/>
  <c r="J13" i="103"/>
  <c r="E13" i="103"/>
  <c r="E10" i="103"/>
  <c r="E9" i="103"/>
  <c r="I13" i="93" l="1"/>
  <c r="K12" i="58"/>
  <c r="K14" i="58" l="1"/>
  <c r="K10" i="58"/>
  <c r="K13" i="58"/>
  <c r="G15" i="58" l="1"/>
  <c r="H15" i="58" s="1"/>
  <c r="K15" i="58"/>
  <c r="D25" i="106"/>
  <c r="K16" i="58" l="1"/>
  <c r="I17" i="105"/>
  <c r="M10" i="102" l="1"/>
  <c r="M13" i="102"/>
  <c r="M14" i="102"/>
  <c r="M15" i="102"/>
  <c r="M16" i="102"/>
  <c r="M17" i="102"/>
  <c r="M18" i="102"/>
  <c r="M19" i="102"/>
  <c r="M12" i="102"/>
  <c r="J26" i="102" l="1"/>
  <c r="M26" i="102" s="1"/>
  <c r="J30" i="102"/>
  <c r="J32" i="102"/>
  <c r="M32" i="102" s="1"/>
  <c r="J34" i="102"/>
  <c r="M34" i="102" s="1"/>
  <c r="J28" i="102"/>
  <c r="J35" i="102"/>
  <c r="M35" i="102" s="1"/>
  <c r="J33" i="102"/>
  <c r="M33" i="102" s="1"/>
  <c r="J31" i="102"/>
  <c r="J29" i="102"/>
  <c r="M20" i="102"/>
  <c r="J36" i="102" s="1"/>
  <c r="M36" i="102" s="1"/>
  <c r="J52" i="102" s="1"/>
  <c r="M52" i="102" s="1"/>
  <c r="N11" i="102"/>
  <c r="I11" i="102"/>
  <c r="F27" i="102" s="1"/>
  <c r="N19" i="102"/>
  <c r="I19" i="102"/>
  <c r="F35" i="102" s="1"/>
  <c r="N35" i="102" s="1"/>
  <c r="N18" i="102"/>
  <c r="I18" i="102"/>
  <c r="F34" i="102" s="1"/>
  <c r="N34" i="102" s="1"/>
  <c r="N17" i="102"/>
  <c r="I17" i="102"/>
  <c r="F33" i="102" s="1"/>
  <c r="N16" i="102"/>
  <c r="I16" i="102"/>
  <c r="F32" i="102" s="1"/>
  <c r="N15" i="102"/>
  <c r="I15" i="102"/>
  <c r="F31" i="102" s="1"/>
  <c r="N14" i="102"/>
  <c r="I14" i="102"/>
  <c r="F30" i="102" s="1"/>
  <c r="N13" i="102"/>
  <c r="I13" i="102"/>
  <c r="F29" i="102" s="1"/>
  <c r="N12" i="102"/>
  <c r="N10" i="102"/>
  <c r="I10" i="102"/>
  <c r="N33" i="102" l="1"/>
  <c r="N32" i="102"/>
  <c r="N31" i="102"/>
  <c r="N29" i="102"/>
  <c r="N30" i="102"/>
  <c r="J42" i="102"/>
  <c r="M29" i="102"/>
  <c r="J45" i="102" s="1"/>
  <c r="M45" i="102" s="1"/>
  <c r="M31" i="102"/>
  <c r="J47" i="102" s="1"/>
  <c r="M47" i="102" s="1"/>
  <c r="M28" i="102"/>
  <c r="J44" i="102" s="1"/>
  <c r="M44" i="102" s="1"/>
  <c r="M30" i="102"/>
  <c r="J46" i="102" s="1"/>
  <c r="M46" i="102" s="1"/>
  <c r="O10" i="102"/>
  <c r="F26" i="102"/>
  <c r="O13" i="102"/>
  <c r="O14" i="102"/>
  <c r="O15" i="102"/>
  <c r="O16" i="102"/>
  <c r="O17" i="102"/>
  <c r="O18" i="102"/>
  <c r="O19" i="102"/>
  <c r="J48" i="102"/>
  <c r="M48" i="102" s="1"/>
  <c r="N20" i="102"/>
  <c r="I20" i="102"/>
  <c r="F36" i="102" s="1"/>
  <c r="N36" i="102" s="1"/>
  <c r="M11" i="102"/>
  <c r="N21" i="102" l="1"/>
  <c r="M21" i="102"/>
  <c r="N26" i="102"/>
  <c r="M42" i="102"/>
  <c r="J27" i="102"/>
  <c r="J37" i="102" s="1"/>
  <c r="I33" i="102"/>
  <c r="F49" i="102" s="1"/>
  <c r="O20" i="102"/>
  <c r="I31" i="102"/>
  <c r="I30" i="102"/>
  <c r="I29" i="102"/>
  <c r="I27" i="102"/>
  <c r="F43" i="102" s="1"/>
  <c r="I26" i="102"/>
  <c r="O11" i="102"/>
  <c r="O26" i="102" l="1"/>
  <c r="F42" i="102"/>
  <c r="N42" i="102" s="1"/>
  <c r="O29" i="102"/>
  <c r="F45" i="102"/>
  <c r="N45" i="102" s="1"/>
  <c r="O30" i="102"/>
  <c r="F46" i="102"/>
  <c r="N46" i="102" s="1"/>
  <c r="O31" i="102"/>
  <c r="F47" i="102"/>
  <c r="N47" i="102" s="1"/>
  <c r="H10" i="103"/>
  <c r="O33" i="102"/>
  <c r="M27" i="102"/>
  <c r="N27" i="102"/>
  <c r="I49" i="102"/>
  <c r="I32" i="102"/>
  <c r="F48" i="102" s="1"/>
  <c r="M37" i="102" l="1"/>
  <c r="N48" i="102"/>
  <c r="O32" i="102"/>
  <c r="J43" i="102"/>
  <c r="O27" i="102"/>
  <c r="J49" i="102"/>
  <c r="I48" i="102"/>
  <c r="O48" i="102" s="1"/>
  <c r="I47" i="102"/>
  <c r="O47" i="102" s="1"/>
  <c r="I46" i="102"/>
  <c r="O46" i="102" s="1"/>
  <c r="I45" i="102"/>
  <c r="O45" i="102" s="1"/>
  <c r="I43" i="102"/>
  <c r="I42" i="102"/>
  <c r="O42" i="102" l="1"/>
  <c r="M49" i="102"/>
  <c r="O49" i="102" s="1"/>
  <c r="N49" i="102"/>
  <c r="M43" i="102"/>
  <c r="N43" i="102"/>
  <c r="O43" i="102" l="1"/>
  <c r="F26" i="67" l="1"/>
  <c r="F34" i="67" s="1"/>
  <c r="E26" i="67"/>
  <c r="E34" i="67" s="1"/>
  <c r="D26" i="67"/>
  <c r="D34" i="67" s="1"/>
  <c r="I11" i="66" l="1"/>
  <c r="K11" i="66"/>
  <c r="G11" i="103"/>
  <c r="E15" i="109"/>
  <c r="K21" i="58" l="1"/>
  <c r="D11" i="105"/>
  <c r="I17" i="104" l="1"/>
  <c r="D15" i="109"/>
  <c r="D13" i="105"/>
  <c r="D11" i="103"/>
  <c r="D19" i="103" l="1"/>
  <c r="F11" i="66" l="1"/>
  <c r="G11" i="66" s="1"/>
  <c r="F36" i="68"/>
  <c r="E36" i="68"/>
  <c r="D36" i="68"/>
  <c r="F13" i="66"/>
  <c r="G13" i="66" s="1"/>
  <c r="G13" i="93"/>
  <c r="F15" i="109"/>
  <c r="D34" i="103"/>
  <c r="D17" i="105"/>
  <c r="J17" i="105"/>
  <c r="H17" i="105"/>
  <c r="G17" i="105"/>
  <c r="F17" i="105"/>
  <c r="E17" i="105"/>
  <c r="G13" i="105"/>
  <c r="D39" i="103" l="1"/>
  <c r="E31" i="103"/>
  <c r="I12" i="66"/>
  <c r="I14" i="66" s="1"/>
  <c r="K12" i="66"/>
  <c r="F12" i="66"/>
  <c r="G12" i="66" s="1"/>
  <c r="G14" i="66" s="1"/>
  <c r="F12" i="104" s="1"/>
  <c r="F10" i="103"/>
  <c r="F9" i="105"/>
  <c r="F19" i="105" s="1"/>
  <c r="K14" i="66"/>
  <c r="J12" i="104" s="1"/>
  <c r="H12" i="104"/>
  <c r="D21" i="109"/>
  <c r="F9" i="109"/>
  <c r="D19" i="105"/>
  <c r="D20" i="105" s="1"/>
  <c r="E9" i="109"/>
  <c r="E21" i="109" s="1"/>
  <c r="I10" i="58"/>
  <c r="D44" i="103"/>
  <c r="F12" i="58"/>
  <c r="I12" i="58"/>
  <c r="G19" i="105"/>
  <c r="E41" i="103" l="1"/>
  <c r="E44" i="103" s="1"/>
  <c r="E34" i="103"/>
  <c r="F31" i="103" s="1"/>
  <c r="F41" i="103" s="1"/>
  <c r="F14" i="66"/>
  <c r="E12" i="104" s="1"/>
  <c r="F34" i="103"/>
  <c r="E39" i="103"/>
  <c r="F18" i="109"/>
  <c r="F21" i="109" s="1"/>
  <c r="E19" i="105"/>
  <c r="I34" i="102"/>
  <c r="F50" i="102" s="1"/>
  <c r="I35" i="102"/>
  <c r="F51" i="102" s="1"/>
  <c r="F9" i="103"/>
  <c r="F11" i="103" s="1"/>
  <c r="E11" i="103"/>
  <c r="F13" i="93"/>
  <c r="H9" i="103"/>
  <c r="J10" i="58"/>
  <c r="H10" i="58"/>
  <c r="D46" i="103"/>
  <c r="F18" i="103" s="1"/>
  <c r="E46" i="103"/>
  <c r="G10" i="58"/>
  <c r="H10" i="93"/>
  <c r="H13" i="93" s="1"/>
  <c r="J10" i="93" s="1"/>
  <c r="J13" i="93" s="1"/>
  <c r="E13" i="105"/>
  <c r="H9" i="105" s="1"/>
  <c r="F13" i="105"/>
  <c r="F20" i="105" s="1"/>
  <c r="F21" i="105" s="1"/>
  <c r="H14" i="58" s="1"/>
  <c r="D21" i="69"/>
  <c r="L10" i="58"/>
  <c r="G20" i="105"/>
  <c r="I14" i="58" s="1"/>
  <c r="F14" i="58"/>
  <c r="F44" i="103" l="1"/>
  <c r="F39" i="103"/>
  <c r="O35" i="102"/>
  <c r="O34" i="102"/>
  <c r="I51" i="102"/>
  <c r="I50" i="102"/>
  <c r="I12" i="102"/>
  <c r="E20" i="105"/>
  <c r="E21" i="105" s="1"/>
  <c r="G14" i="58" s="1"/>
  <c r="I36" i="102"/>
  <c r="J9" i="103"/>
  <c r="H11" i="103"/>
  <c r="H19" i="105"/>
  <c r="H13" i="105"/>
  <c r="F46" i="103" l="1"/>
  <c r="I21" i="102"/>
  <c r="E21" i="102" s="1"/>
  <c r="O36" i="102"/>
  <c r="F52" i="102"/>
  <c r="F28" i="102"/>
  <c r="F37" i="102" s="1"/>
  <c r="J13" i="104" s="1"/>
  <c r="O12" i="102"/>
  <c r="J50" i="102"/>
  <c r="J9" i="105"/>
  <c r="H20" i="105"/>
  <c r="O21" i="102" l="1"/>
  <c r="H13" i="104"/>
  <c r="N52" i="102"/>
  <c r="I52" i="102"/>
  <c r="O52" i="102" s="1"/>
  <c r="M50" i="102"/>
  <c r="N50" i="102"/>
  <c r="N28" i="102"/>
  <c r="J51" i="102"/>
  <c r="F13" i="104"/>
  <c r="H14" i="103"/>
  <c r="H16" i="103" s="1"/>
  <c r="E20" i="69"/>
  <c r="E21" i="69" s="1"/>
  <c r="I28" i="102"/>
  <c r="I37" i="102" s="1"/>
  <c r="H21" i="105"/>
  <c r="J14" i="58" s="1"/>
  <c r="E15" i="103"/>
  <c r="E17" i="103" s="1"/>
  <c r="E16" i="103"/>
  <c r="F16" i="103"/>
  <c r="F15" i="103"/>
  <c r="F17" i="103" s="1"/>
  <c r="J19" i="105"/>
  <c r="J13" i="105"/>
  <c r="J15" i="58"/>
  <c r="I15" i="58"/>
  <c r="F15" i="58"/>
  <c r="N37" i="102" l="1"/>
  <c r="J53" i="102"/>
  <c r="F44" i="102"/>
  <c r="F19" i="103"/>
  <c r="F21" i="103" s="1"/>
  <c r="H12" i="58" s="1"/>
  <c r="E19" i="103"/>
  <c r="E21" i="103" s="1"/>
  <c r="G12" i="58" s="1"/>
  <c r="O28" i="102"/>
  <c r="M51" i="102"/>
  <c r="N51" i="102"/>
  <c r="O50" i="102"/>
  <c r="H15" i="103"/>
  <c r="H17" i="103" s="1"/>
  <c r="H19" i="103" s="1"/>
  <c r="H21" i="103" s="1"/>
  <c r="J12" i="58" s="1"/>
  <c r="J10" i="103"/>
  <c r="J11" i="103" s="1"/>
  <c r="J20" i="105"/>
  <c r="J21" i="105" s="1"/>
  <c r="L14" i="58" s="1"/>
  <c r="O37" i="102" l="1"/>
  <c r="F53" i="102"/>
  <c r="F20" i="69" s="1"/>
  <c r="F21" i="69" s="1"/>
  <c r="M53" i="102"/>
  <c r="O51" i="102"/>
  <c r="N44" i="102"/>
  <c r="I44" i="102"/>
  <c r="E37" i="102"/>
  <c r="N53" i="102" l="1"/>
  <c r="I53" i="102"/>
  <c r="E53" i="102" s="1"/>
  <c r="O44" i="102"/>
  <c r="J14" i="103"/>
  <c r="J15" i="103" s="1"/>
  <c r="J17" i="103" s="1"/>
  <c r="J19" i="103" s="1"/>
  <c r="J21" i="103" s="1"/>
  <c r="L12" i="58" s="1"/>
  <c r="B19" i="58"/>
  <c r="B20" i="58" s="1"/>
  <c r="O53" i="102" l="1"/>
  <c r="J16" i="103"/>
  <c r="B10" i="105"/>
  <c r="B11" i="105" s="1"/>
  <c r="B12" i="105" s="1"/>
  <c r="B13" i="105" s="1"/>
  <c r="B15" i="105" s="1"/>
  <c r="B16" i="105" s="1"/>
  <c r="B17" i="105" s="1"/>
  <c r="B19" i="105" s="1"/>
  <c r="B10" i="104"/>
  <c r="B11" i="104" s="1"/>
  <c r="B12" i="104" s="1"/>
  <c r="B13" i="104" s="1"/>
  <c r="B14" i="104" s="1"/>
  <c r="B16" i="104" s="1"/>
  <c r="B17" i="104" s="1"/>
  <c r="B18" i="104" s="1"/>
  <c r="B19" i="104" s="1"/>
  <c r="B10" i="103"/>
  <c r="B11" i="103" s="1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0" i="105" l="1"/>
  <c r="B21" i="105" s="1"/>
  <c r="B11" i="58"/>
  <c r="B12" i="58" s="1"/>
  <c r="B13" i="58" s="1"/>
  <c r="B14" i="58" s="1"/>
  <c r="B15" i="58" s="1"/>
  <c r="B16" i="58" s="1"/>
  <c r="B7" i="57" l="1"/>
  <c r="B8" i="57" s="1"/>
  <c r="B9" i="57" s="1"/>
  <c r="B10" i="57" s="1"/>
  <c r="B11" i="57" l="1"/>
  <c r="B12" i="57" s="1"/>
  <c r="B13" i="57" s="1"/>
  <c r="B12" i="66"/>
  <c r="B13" i="66" s="1"/>
  <c r="B14" i="66" s="1"/>
  <c r="B28" i="67"/>
  <c r="B29" i="67" s="1"/>
  <c r="B30" i="67" s="1"/>
  <c r="B31" i="67" s="1"/>
  <c r="B14" i="57" l="1"/>
  <c r="B15" i="57" s="1"/>
  <c r="B16" i="57" s="1"/>
  <c r="B17" i="57" s="1"/>
  <c r="B18" i="57" s="1"/>
  <c r="B19" i="57" s="1"/>
  <c r="B20" i="57" s="1"/>
  <c r="B21" i="57" l="1"/>
  <c r="B22" i="57" s="1"/>
  <c r="B23" i="57" s="1"/>
  <c r="B24" i="57" s="1"/>
  <c r="B25" i="57" s="1"/>
  <c r="B26" i="57" s="1"/>
  <c r="F13" i="58"/>
  <c r="I13" i="58"/>
  <c r="I16" i="58" s="1"/>
  <c r="I21" i="58" l="1"/>
  <c r="G17" i="104" s="1"/>
  <c r="F16" i="58"/>
  <c r="F21" i="58" s="1"/>
  <c r="D17" i="104" s="1"/>
  <c r="G13" i="58" l="1"/>
  <c r="H13" i="58"/>
  <c r="J13" i="58"/>
  <c r="L13" i="58"/>
  <c r="G16" i="58"/>
  <c r="H16" i="58"/>
  <c r="J16" i="58"/>
  <c r="L16" i="58"/>
  <c r="G21" i="58"/>
  <c r="H21" i="58"/>
  <c r="J21" i="58"/>
  <c r="L21" i="58"/>
  <c r="E14" i="104"/>
  <c r="F14" i="104"/>
  <c r="H14" i="104"/>
  <c r="J14" i="104"/>
  <c r="E17" i="104"/>
  <c r="F17" i="104"/>
  <c r="H17" i="104"/>
  <c r="J17" i="104"/>
  <c r="E19" i="104"/>
  <c r="F19" i="104"/>
  <c r="H19" i="104"/>
  <c r="J19" i="104"/>
</calcChain>
</file>

<file path=xl/sharedStrings.xml><?xml version="1.0" encoding="utf-8"?>
<sst xmlns="http://schemas.openxmlformats.org/spreadsheetml/2006/main" count="794" uniqueCount="375">
  <si>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</si>
  <si>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</si>
  <si>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</si>
  <si>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</si>
  <si>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</si>
  <si>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</si>
  <si>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</si>
  <si>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</si>
  <si>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</si>
  <si>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</si>
  <si>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</si>
  <si>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</si>
  <si>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</si>
  <si>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</si>
  <si>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</si>
  <si>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</si>
  <si>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</si>
  <si>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</si>
  <si>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</si>
  <si>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</si>
  <si>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</si>
  <si>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</si>
  <si>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</si>
  <si>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</si>
  <si>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</si>
  <si>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</si>
  <si>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</si>
  <si>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</si>
  <si>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</si>
  <si>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</si>
  <si>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</si>
  <si>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</si>
  <si>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</si>
  <si>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</si>
  <si>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</si>
  <si>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</si>
  <si>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</si>
  <si>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</si>
  <si>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</si>
  <si>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</si>
  <si>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</si>
  <si>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</si>
  <si>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</si>
  <si>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</si>
  <si>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</si>
  <si>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</si>
  <si>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</si>
  <si>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</si>
  <si>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</si>
  <si>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</si>
  <si>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</si>
  <si>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</si>
  <si>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</si>
  <si>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</si>
  <si>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</si>
  <si>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</si>
  <si>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</si>
  <si>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</si>
  <si>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</si>
  <si>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</si>
  <si>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</si>
  <si>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</si>
  <si>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</si>
  <si>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</si>
  <si>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</si>
  <si>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</si>
  <si>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</si>
  <si>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</si>
  <si>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</si>
  <si>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</si>
  <si>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</si>
  <si>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</si>
  <si>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</si>
  <si>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</si>
  <si>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</si>
  <si>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</si>
  <si>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</si>
  <si>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</si>
  <si>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</si>
  <si>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</si>
  <si>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</si>
  <si>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</si>
  <si>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</si>
  <si>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</si>
  <si>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</si>
  <si>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</si>
  <si>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</si>
  <si>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</si>
  <si>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</si>
  <si>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</si>
  <si>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</si>
  <si>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</si>
  <si>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</si>
  <si>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</si>
  <si>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</si>
  <si>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</si>
  <si>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</si>
  <si>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</si>
  <si>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</si>
  <si>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</si>
  <si>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</si>
  <si>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</si>
  <si>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</si>
  <si>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</si>
  <si>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</si>
  <si>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</si>
  <si>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</si>
  <si>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</si>
  <si>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</si>
  <si>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</si>
  <si>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</si>
  <si>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</si>
  <si>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</si>
  <si>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</si>
  <si>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</si>
  <si>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</si>
  <si>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</si>
  <si>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</si>
  <si>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</si>
  <si>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</si>
  <si>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</si>
  <si>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</si>
  <si>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</si>
  <si>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</si>
  <si>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</si>
  <si>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</si>
  <si>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</si>
  <si>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</si>
  <si>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</si>
  <si>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</si>
  <si>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</si>
  <si>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</si>
  <si>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</si>
  <si>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</si>
  <si>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</si>
  <si>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</si>
  <si>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</si>
  <si>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</si>
  <si>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</si>
  <si>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</si>
  <si>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</si>
  <si>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</si>
  <si>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</si>
  <si>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</si>
  <si>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</si>
  <si>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</si>
  <si>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</si>
  <si>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</si>
  <si>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</si>
  <si>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</si>
  <si>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</si>
  <si>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</si>
  <si>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</si>
  <si>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</si>
  <si>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</si>
  <si>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</si>
  <si>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</si>
  <si>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</si>
  <si>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</si>
  <si>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</si>
  <si>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</si>
  <si>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</si>
  <si>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</si>
  <si>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</si>
  <si>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</si>
  <si>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</si>
  <si>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</si>
  <si>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</si>
  <si>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</si>
  <si>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</si>
  <si>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</si>
  <si>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</si>
  <si>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</si>
  <si>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</si>
  <si>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</si>
  <si>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</si>
  <si>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</si>
  <si>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</si>
  <si>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</si>
  <si>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</si>
  <si>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</si>
  <si>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</si>
  <si>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</si>
  <si>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</si>
  <si>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</si>
  <si>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</si>
  <si>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</si>
  <si>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</si>
  <si>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</si>
  <si>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</si>
  <si>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</si>
  <si>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</si>
  <si>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</si>
  <si>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</si>
  <si>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</si>
  <si>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</si>
  <si>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</si>
  <si>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</si>
  <si>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</si>
  <si>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</si>
  <si>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n+1</t>
  </si>
  <si>
    <t xml:space="preserve">April-March     </t>
  </si>
  <si>
    <t>Claimed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</si>
  <si>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</si>
  <si>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</si>
  <si>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</si>
  <si>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</si>
  <si>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</si>
  <si>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</si>
  <si>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</si>
  <si>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</si>
  <si>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</si>
  <si>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</si>
  <si>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</si>
  <si>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</si>
  <si>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</si>
  <si>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</si>
  <si>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</si>
  <si>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</si>
  <si>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</si>
  <si>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</si>
  <si>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</si>
  <si>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</si>
  <si>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</si>
  <si>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</si>
  <si>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</si>
  <si>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</si>
  <si>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</si>
  <si>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</si>
  <si>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</si>
  <si>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</si>
  <si>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</si>
  <si>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</si>
  <si>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</si>
  <si>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</si>
  <si>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</si>
  <si>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</si>
  <si>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</si>
  <si>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</si>
  <si>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</si>
  <si>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</si>
  <si>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</si>
  <si>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</si>
  <si>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</si>
  <si>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</si>
  <si>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</si>
  <si>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</si>
  <si>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</si>
  <si>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</si>
  <si>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</si>
  <si>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</si>
  <si>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</si>
  <si>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</si>
  <si>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</si>
  <si>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</si>
  <si>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</si>
  <si>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</si>
  <si>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</si>
  <si>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</si>
  <si>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</si>
  <si>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</si>
  <si>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</si>
  <si>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</si>
  <si>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</si>
  <si>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</si>
  <si>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</si>
  <si>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</si>
  <si>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</si>
  <si>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</si>
  <si>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</si>
  <si>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</si>
  <si>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</si>
  <si>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</si>
  <si>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</si>
  <si>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</si>
  <si>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</si>
  <si>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</si>
  <si>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</si>
  <si>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</si>
  <si>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</si>
  <si>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</si>
  <si>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</si>
  <si>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</si>
  <si>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</si>
  <si>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</si>
  <si>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</si>
  <si>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</si>
  <si>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</si>
  <si>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</si>
  <si>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</si>
  <si>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</si>
  <si>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</si>
  <si>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</si>
  <si>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</si>
  <si>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</si>
  <si>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</si>
  <si>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</si>
  <si>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</si>
  <si>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</si>
  <si>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</si>
  <si>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</si>
  <si>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</si>
  <si>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</si>
  <si>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</si>
  <si>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2024-25</t>
  </si>
  <si>
    <t>FY 2025-26</t>
  </si>
  <si>
    <t>Form 2.2: Administrative &amp; General Expenses</t>
  </si>
  <si>
    <t>Form 1: Summary Sheet</t>
  </si>
  <si>
    <t>COMPUTERS</t>
  </si>
  <si>
    <t>OFFICE EQUIPMENT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</si>
  <si>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</si>
  <si>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</si>
  <si>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</si>
  <si>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</si>
  <si>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</si>
  <si>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</si>
  <si>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</si>
  <si>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</si>
  <si>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</si>
  <si>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</si>
  <si>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</si>
  <si>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</si>
  <si>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</si>
  <si>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</si>
  <si>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</si>
  <si>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</si>
  <si>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</si>
  <si>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</si>
  <si>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Revised Proposal</t>
  </si>
  <si>
    <t>(enclosed as Annexure)</t>
  </si>
  <si>
    <t>True-Up requirement (normative)</t>
  </si>
  <si>
    <t>True-Up requirement (Normative)</t>
  </si>
  <si>
    <t>FY 2026-27</t>
  </si>
  <si>
    <t>FY 2025-6</t>
  </si>
  <si>
    <t>Nagarjuna Sagar HES</t>
  </si>
  <si>
    <t xml:space="preserve">PROFIT ON SALE OF FIXED ASSETS                    </t>
  </si>
  <si>
    <t>LAND AND LAND RIGHTS</t>
  </si>
  <si>
    <t>BUILDINGS</t>
  </si>
  <si>
    <t>PLANT AND MACHINERY</t>
  </si>
  <si>
    <t>HYDRAULIC WORKS</t>
  </si>
  <si>
    <t>OTHER CIVIL WORKS</t>
  </si>
  <si>
    <t>FURNITURE AND FIXTURES</t>
  </si>
  <si>
    <t>VEHICLES</t>
  </si>
  <si>
    <t>FIXED ASSET-TR. FROM NSTPD DE-MERGER PLAN-PROV.</t>
  </si>
  <si>
    <t>OTH.FIXED ASSETS &amp; CAPITAL SPARES.</t>
  </si>
  <si>
    <t>TSSPDCL (70.55%)</t>
  </si>
  <si>
    <t>TSNPDCL (29.45%)</t>
  </si>
  <si>
    <t xml:space="preserve">Projected </t>
  </si>
  <si>
    <t>Telangana Power Generation Corporation Limited</t>
  </si>
  <si>
    <t>Financial Year (FY 2024-25)</t>
  </si>
  <si>
    <t>Other recoveries/
adjustments</t>
  </si>
  <si>
    <t>Non-Tariff Income true-up</t>
  </si>
  <si>
    <t xml:space="preserve">      &lt;NSHES&gt;</t>
  </si>
  <si>
    <t>Loan 1- PFC</t>
  </si>
  <si>
    <t>NSHES</t>
  </si>
  <si>
    <t>Name of the package           (BTG, BoP, Civil Works etc.)</t>
  </si>
  <si>
    <t>Capital expenditure during the year     (Rs. Crore)</t>
  </si>
  <si>
    <t>Asset group under which the capitalisation has been accounted                          (Land, Buldings, etc.)</t>
  </si>
  <si>
    <t>2024-25</t>
  </si>
  <si>
    <t>BTG</t>
  </si>
  <si>
    <t>Circuit Breaker, Fire Protection System and related equipment</t>
  </si>
  <si>
    <t>Plant and Machinery</t>
  </si>
  <si>
    <t>Clause No. 22.3</t>
  </si>
  <si>
    <t>Civil</t>
  </si>
  <si>
    <t>Micro Filter house at B Colony</t>
  </si>
  <si>
    <t>Other civil works</t>
  </si>
  <si>
    <t>BOP</t>
  </si>
  <si>
    <t>Lorry (Eicher), PRO2114xP5 H FSD 19FT BSVI</t>
  </si>
  <si>
    <t>Office Furniture</t>
  </si>
  <si>
    <t>Furniture and Fixtures</t>
  </si>
  <si>
    <t>Audio system in Conference room</t>
  </si>
  <si>
    <t>Computers</t>
  </si>
  <si>
    <t>Split Airconditioner, 2 Ton, 3star, R32 Gas</t>
  </si>
  <si>
    <t>2025-26</t>
  </si>
  <si>
    <t>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</si>
</sst>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000"/>
    <numFmt numFmtId="169" formatCode="0.000"/>
    <numFmt numFmtId="170" formatCode="0.00000000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  <numFmt numFmtId="175" formatCode="0.000%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7">
    <xf numFmtId="0" fontId="0" fillId="0" borderId="0"/>
    <xf numFmtId="0" fontId="11" fillId="0" borderId="0" applyNumberFormat="0" applyFill="0" applyBorder="0" applyAlignment="0" applyProtection="0"/>
    <xf numFmtId="0" fontId="12" fillId="0" borderId="1"/>
    <xf numFmtId="0" fontId="12" fillId="0" borderId="1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0" fontId="13" fillId="3" borderId="4" applyNumberFormat="0" applyBorder="0" applyAlignment="0" applyProtection="0"/>
    <xf numFmtId="37" fontId="15" fillId="0" borderId="0"/>
    <xf numFmtId="166" fontId="16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>
      <alignment vertical="center"/>
    </xf>
    <xf numFmtId="167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0" fillId="0" borderId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0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10" fillId="0" borderId="0"/>
    <xf numFmtId="0" fontId="8" fillId="0" borderId="0"/>
    <xf numFmtId="0" fontId="10" fillId="0" borderId="0" applyBorder="0" applyProtection="0"/>
    <xf numFmtId="167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164" fontId="2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2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17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9" fillId="0" borderId="0"/>
    <xf numFmtId="0" fontId="29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8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29" fillId="0" borderId="0"/>
    <xf numFmtId="0" fontId="3" fillId="0" borderId="0" applyFont="0" applyFill="0" applyBorder="0" applyAlignment="0" applyProtection="0"/>
    <xf numFmtId="0" fontId="3" fillId="0" borderId="0"/>
    <xf numFmtId="0" fontId="29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7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</cellStyleXfs>
  <cellXfs count="262">
    <xf numFmtId="0" fontId="0" fillId="0" borderId="0" xfId="0"/>
    <xf numFmtId="0" fontId="9" fillId="0" borderId="0" xfId="10" applyFont="1" applyAlignment="1">
      <alignment horizontal="center" vertical="center"/>
    </xf>
    <xf numFmtId="0" fontId="17" fillId="0" borderId="4" xfId="14" applyFont="1" applyBorder="1" applyAlignment="1">
      <alignment horizontal="center" vertical="center"/>
    </xf>
    <xf numFmtId="0" fontId="17" fillId="0" borderId="4" xfId="14" applyFont="1" applyBorder="1">
      <alignment vertical="center"/>
    </xf>
    <xf numFmtId="0" fontId="17" fillId="0" borderId="0" xfId="10" applyFont="1"/>
    <xf numFmtId="0" fontId="17" fillId="0" borderId="0" xfId="10" applyFont="1" applyAlignment="1">
      <alignment vertical="center"/>
    </xf>
    <xf numFmtId="0" fontId="9" fillId="0" borderId="0" xfId="14" applyFont="1">
      <alignment vertical="center"/>
    </xf>
    <xf numFmtId="0" fontId="9" fillId="0" borderId="4" xfId="14" applyFont="1" applyBorder="1" applyAlignment="1">
      <alignment horizontal="center" vertical="center"/>
    </xf>
    <xf numFmtId="0" fontId="9" fillId="0" borderId="4" xfId="14" applyFont="1" applyBorder="1" applyAlignment="1">
      <alignment horizontal="left" vertical="center"/>
    </xf>
    <xf numFmtId="0" fontId="9" fillId="0" borderId="4" xfId="14" applyFont="1" applyBorder="1" applyAlignment="1">
      <alignment vertical="top" wrapText="1"/>
    </xf>
    <xf numFmtId="0" fontId="9" fillId="0" borderId="0" xfId="10" applyFont="1"/>
    <xf numFmtId="0" fontId="14" fillId="0" borderId="7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7" fillId="0" borderId="0" xfId="14" applyFont="1">
      <alignment vertical="center"/>
    </xf>
    <xf numFmtId="0" fontId="22" fillId="0" borderId="4" xfId="14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/>
    </xf>
    <xf numFmtId="0" fontId="17" fillId="5" borderId="4" xfId="14" applyFont="1" applyFill="1" applyBorder="1" applyAlignment="1">
      <alignment horizontal="left" vertical="center"/>
    </xf>
    <xf numFmtId="0" fontId="17" fillId="0" borderId="4" xfId="14" applyFont="1" applyBorder="1" applyAlignment="1">
      <alignment vertical="top" wrapText="1"/>
    </xf>
    <xf numFmtId="0" fontId="22" fillId="0" borderId="4" xfId="14" applyFont="1" applyBorder="1">
      <alignment vertical="center"/>
    </xf>
    <xf numFmtId="0" fontId="17" fillId="0" borderId="4" xfId="10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 wrapText="1"/>
    </xf>
    <xf numFmtId="0" fontId="22" fillId="0" borderId="6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horizontal="right" vertical="center"/>
    </xf>
    <xf numFmtId="0" fontId="22" fillId="0" borderId="0" xfId="14" applyFont="1" applyAlignment="1">
      <alignment horizontal="right" vertical="center"/>
    </xf>
    <xf numFmtId="0" fontId="17" fillId="0" borderId="4" xfId="1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4" xfId="10" applyFont="1" applyBorder="1" applyAlignment="1">
      <alignment horizontal="left" vertical="center"/>
    </xf>
    <xf numFmtId="0" fontId="22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0" xfId="10" applyFont="1" applyAlignment="1">
      <alignment vertical="center"/>
    </xf>
    <xf numFmtId="0" fontId="22" fillId="0" borderId="0" xfId="14" applyFont="1" applyAlignment="1">
      <alignment horizontal="center" vertical="center"/>
    </xf>
    <xf numFmtId="0" fontId="17" fillId="0" borderId="0" xfId="10" applyFont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4" applyFont="1">
      <alignment vertical="center"/>
    </xf>
    <xf numFmtId="0" fontId="17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vertical="center"/>
    </xf>
    <xf numFmtId="0" fontId="17" fillId="0" borderId="4" xfId="10" applyFont="1" applyBorder="1" applyAlignment="1">
      <alignment horizontal="right" vertical="center"/>
    </xf>
    <xf numFmtId="0" fontId="22" fillId="0" borderId="0" xfId="10" applyFont="1" applyAlignment="1">
      <alignment horizontal="centerContinuous"/>
    </xf>
    <xf numFmtId="0" fontId="17" fillId="0" borderId="0" xfId="10" applyFont="1" applyAlignment="1">
      <alignment horizontal="centerContinuous"/>
    </xf>
    <xf numFmtId="0" fontId="17" fillId="0" borderId="4" xfId="10" applyFont="1" applyBorder="1"/>
    <xf numFmtId="0" fontId="22" fillId="0" borderId="4" xfId="10" applyFont="1" applyBorder="1"/>
    <xf numFmtId="0" fontId="22" fillId="0" borderId="0" xfId="10" applyFont="1" applyAlignment="1">
      <alignment horizontal="justify" vertical="top" wrapText="1"/>
    </xf>
    <xf numFmtId="0" fontId="17" fillId="0" borderId="0" xfId="10" applyFont="1" applyAlignment="1">
      <alignment horizontal="left"/>
    </xf>
    <xf numFmtId="0" fontId="17" fillId="0" borderId="4" xfId="10" applyFont="1" applyBorder="1" applyAlignment="1">
      <alignment wrapText="1"/>
    </xf>
    <xf numFmtId="0" fontId="17" fillId="0" borderId="0" xfId="10" applyFont="1" applyAlignment="1">
      <alignment horizontal="left" vertical="center"/>
    </xf>
    <xf numFmtId="0" fontId="17" fillId="0" borderId="0" xfId="10" applyFont="1" applyAlignment="1">
      <alignment horizontal="right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0" applyFont="1" applyAlignment="1">
      <alignment horizontal="center" vertical="center"/>
    </xf>
    <xf numFmtId="0" fontId="17" fillId="0" borderId="4" xfId="10" quotePrefix="1" applyFont="1" applyBorder="1" applyAlignment="1">
      <alignment horizontal="left" vertical="top" wrapText="1"/>
    </xf>
    <xf numFmtId="0" fontId="17" fillId="0" borderId="4" xfId="10" applyFont="1" applyBorder="1" applyAlignment="1">
      <alignment horizontal="left"/>
    </xf>
    <xf numFmtId="0" fontId="22" fillId="0" borderId="4" xfId="10" applyFont="1" applyBorder="1" applyAlignment="1">
      <alignment horizontal="left"/>
    </xf>
    <xf numFmtId="0" fontId="17" fillId="0" borderId="0" xfId="14" applyFont="1" applyAlignment="1">
      <alignment horizontal="center" vertical="center"/>
    </xf>
    <xf numFmtId="0" fontId="17" fillId="0" borderId="4" xfId="10" applyFont="1" applyBorder="1" applyAlignment="1">
      <alignment horizontal="left" vertical="top" wrapText="1"/>
    </xf>
    <xf numFmtId="0" fontId="22" fillId="0" borderId="0" xfId="10" applyFont="1" applyAlignment="1">
      <alignment horizontal="left"/>
    </xf>
    <xf numFmtId="0" fontId="22" fillId="0" borderId="0" xfId="10" applyFont="1" applyAlignment="1">
      <alignment horizontal="right"/>
    </xf>
    <xf numFmtId="0" fontId="22" fillId="0" borderId="0" xfId="10" applyFont="1" applyAlignment="1">
      <alignment horizontal="left" vertical="center" wrapText="1"/>
    </xf>
    <xf numFmtId="0" fontId="22" fillId="0" borderId="0" xfId="10" applyFont="1" applyAlignment="1">
      <alignment horizontal="center" vertical="center" wrapText="1"/>
    </xf>
    <xf numFmtId="0" fontId="17" fillId="0" borderId="6" xfId="10" applyFont="1" applyBorder="1" applyAlignment="1">
      <alignment horizontal="center" vertical="center"/>
    </xf>
    <xf numFmtId="0" fontId="23" fillId="0" borderId="0" xfId="10" applyFont="1" applyAlignment="1">
      <alignment horizontal="right" vertical="center"/>
    </xf>
    <xf numFmtId="0" fontId="17" fillId="0" borderId="0" xfId="10" applyFont="1" applyAlignment="1">
      <alignment horizontal="center"/>
    </xf>
    <xf numFmtId="0" fontId="14" fillId="0" borderId="0" xfId="14" applyFont="1" applyAlignment="1">
      <alignment horizontal="center" vertical="center"/>
    </xf>
    <xf numFmtId="0" fontId="22" fillId="0" borderId="5" xfId="14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 wrapText="1"/>
    </xf>
    <xf numFmtId="0" fontId="17" fillId="0" borderId="8" xfId="14" applyFont="1" applyBorder="1">
      <alignment vertical="center"/>
    </xf>
    <xf numFmtId="0" fontId="22" fillId="0" borderId="4" xfId="10" applyFont="1" applyBorder="1" applyAlignment="1">
      <alignment vertical="center" wrapText="1"/>
    </xf>
    <xf numFmtId="0" fontId="22" fillId="4" borderId="4" xfId="14" applyFont="1" applyFill="1" applyBorder="1" applyAlignment="1">
      <alignment horizontal="center" vertical="center" wrapText="1"/>
    </xf>
    <xf numFmtId="0" fontId="22" fillId="0" borderId="0" xfId="10" applyFont="1" applyAlignment="1">
      <alignment horizontal="centerContinuous" vertical="center"/>
    </xf>
    <xf numFmtId="0" fontId="17" fillId="0" borderId="0" xfId="10" applyFont="1" applyAlignment="1">
      <alignment horizontal="centerContinuous" vertical="center"/>
    </xf>
    <xf numFmtId="0" fontId="22" fillId="4" borderId="4" xfId="10" quotePrefix="1" applyFont="1" applyFill="1" applyBorder="1" applyAlignment="1">
      <alignment horizontal="center" vertical="center" wrapText="1"/>
    </xf>
    <xf numFmtId="0" fontId="22" fillId="4" borderId="4" xfId="10" applyFont="1" applyFill="1" applyBorder="1" applyAlignment="1">
      <alignment horizontal="left" vertical="center" wrapText="1"/>
    </xf>
    <xf numFmtId="0" fontId="22" fillId="4" borderId="4" xfId="10" applyFont="1" applyFill="1" applyBorder="1" applyAlignment="1">
      <alignment horizontal="center" vertical="center"/>
    </xf>
    <xf numFmtId="0" fontId="17" fillId="4" borderId="4" xfId="14" applyFont="1" applyFill="1" applyBorder="1">
      <alignment vertical="center"/>
    </xf>
    <xf numFmtId="0" fontId="17" fillId="4" borderId="4" xfId="10" applyFont="1" applyFill="1" applyBorder="1" applyAlignment="1">
      <alignment horizontal="center" vertical="center"/>
    </xf>
    <xf numFmtId="0" fontId="17" fillId="4" borderId="4" xfId="10" applyFont="1" applyFill="1" applyBorder="1" applyAlignment="1">
      <alignment vertical="center" wrapText="1"/>
    </xf>
    <xf numFmtId="0" fontId="22" fillId="4" borderId="4" xfId="10" applyFont="1" applyFill="1" applyBorder="1" applyAlignment="1">
      <alignment vertical="center" wrapText="1"/>
    </xf>
    <xf numFmtId="0" fontId="17" fillId="4" borderId="4" xfId="10" applyFont="1" applyFill="1" applyBorder="1" applyAlignment="1">
      <alignment vertical="center"/>
    </xf>
    <xf numFmtId="0" fontId="22" fillId="4" borderId="0" xfId="10" applyFont="1" applyFill="1" applyAlignment="1">
      <alignment vertical="center"/>
    </xf>
    <xf numFmtId="0" fontId="17" fillId="4" borderId="0" xfId="10" applyFont="1" applyFill="1" applyAlignment="1">
      <alignment vertical="center"/>
    </xf>
    <xf numFmtId="166" fontId="17" fillId="0" borderId="0" xfId="10" applyNumberFormat="1" applyFont="1" applyAlignment="1">
      <alignment vertical="center"/>
    </xf>
    <xf numFmtId="0" fontId="24" fillId="0" borderId="0" xfId="10" applyFont="1" applyAlignment="1">
      <alignment horizontal="left" vertical="center"/>
    </xf>
    <xf numFmtId="0" fontId="17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6" fillId="0" borderId="0" xfId="10" applyFont="1" applyAlignment="1">
      <alignment vertical="center"/>
    </xf>
    <xf numFmtId="2" fontId="17" fillId="0" borderId="4" xfId="0" applyNumberFormat="1" applyFont="1" applyBorder="1" applyAlignment="1">
      <alignment vertical="center"/>
    </xf>
    <xf numFmtId="2" fontId="22" fillId="0" borderId="4" xfId="0" applyNumberFormat="1" applyFont="1" applyBorder="1" applyAlignment="1">
      <alignment vertical="center"/>
    </xf>
    <xf numFmtId="2" fontId="17" fillId="0" borderId="4" xfId="10" applyNumberFormat="1" applyFont="1" applyBorder="1" applyAlignment="1">
      <alignment horizontal="center" vertical="center"/>
    </xf>
    <xf numFmtId="2" fontId="22" fillId="6" borderId="4" xfId="0" applyNumberFormat="1" applyFont="1" applyFill="1" applyBorder="1" applyAlignment="1">
      <alignment vertical="center"/>
    </xf>
    <xf numFmtId="2" fontId="22" fillId="0" borderId="4" xfId="10" applyNumberFormat="1" applyFont="1" applyBorder="1" applyAlignment="1">
      <alignment horizontal="center" vertical="center" wrapText="1"/>
    </xf>
    <xf numFmtId="2" fontId="17" fillId="0" borderId="4" xfId="10" applyNumberFormat="1" applyFont="1" applyBorder="1" applyAlignment="1">
      <alignment horizontal="center" vertical="center" wrapText="1"/>
    </xf>
    <xf numFmtId="2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 applyAlignment="1">
      <alignment vertical="center"/>
    </xf>
    <xf numFmtId="0" fontId="22" fillId="0" borderId="8" xfId="14" applyFont="1" applyBorder="1">
      <alignment vertical="center"/>
    </xf>
    <xf numFmtId="2" fontId="22" fillId="6" borderId="8" xfId="14" applyNumberFormat="1" applyFont="1" applyFill="1" applyBorder="1">
      <alignment vertical="center"/>
    </xf>
    <xf numFmtId="10" fontId="17" fillId="0" borderId="8" xfId="14" applyNumberFormat="1" applyFont="1" applyBorder="1">
      <alignment vertical="center"/>
    </xf>
    <xf numFmtId="2" fontId="17" fillId="0" borderId="8" xfId="14" applyNumberFormat="1" applyFont="1" applyBorder="1">
      <alignment vertical="center"/>
    </xf>
    <xf numFmtId="2" fontId="17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center" vertical="center"/>
    </xf>
    <xf numFmtId="2" fontId="22" fillId="6" borderId="4" xfId="14" applyNumberFormat="1" applyFont="1" applyFill="1" applyBorder="1" applyAlignment="1">
      <alignment horizontal="center" vertical="center"/>
    </xf>
    <xf numFmtId="10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/>
    <xf numFmtId="2" fontId="17" fillId="0" borderId="4" xfId="10" applyNumberFormat="1" applyFont="1" applyBorder="1" applyAlignment="1">
      <alignment horizontal="right" vertical="center"/>
    </xf>
    <xf numFmtId="2" fontId="22" fillId="0" borderId="4" xfId="14" applyNumberFormat="1" applyFont="1" applyBorder="1" applyAlignment="1">
      <alignment horizontal="center" vertical="center"/>
    </xf>
    <xf numFmtId="0" fontId="17" fillId="0" borderId="4" xfId="14" applyFont="1" applyBorder="1" applyAlignment="1">
      <alignment horizontal="right" vertical="center"/>
    </xf>
    <xf numFmtId="2" fontId="17" fillId="0" borderId="4" xfId="14" applyNumberFormat="1" applyFont="1" applyBorder="1" applyAlignment="1">
      <alignment horizontal="right" vertical="center"/>
    </xf>
    <xf numFmtId="0" fontId="17" fillId="0" borderId="4" xfId="10" applyFont="1" applyBorder="1" applyAlignment="1">
      <alignment horizontal="right" vertical="center" wrapText="1"/>
    </xf>
    <xf numFmtId="2" fontId="17" fillId="0" borderId="4" xfId="10" applyNumberFormat="1" applyFont="1" applyBorder="1" applyAlignment="1">
      <alignment horizontal="right" vertical="center" wrapText="1"/>
    </xf>
    <xf numFmtId="0" fontId="17" fillId="0" borderId="8" xfId="14" applyFont="1" applyBorder="1" applyAlignment="1">
      <alignment horizontal="right" vertical="center"/>
    </xf>
    <xf numFmtId="2" fontId="22" fillId="6" borderId="8" xfId="14" applyNumberFormat="1" applyFont="1" applyFill="1" applyBorder="1" applyAlignment="1">
      <alignment horizontal="right" vertical="center"/>
    </xf>
    <xf numFmtId="2" fontId="17" fillId="6" borderId="8" xfId="14" applyNumberFormat="1" applyFont="1" applyFill="1" applyBorder="1">
      <alignment vertical="center"/>
    </xf>
    <xf numFmtId="10" fontId="22" fillId="6" borderId="4" xfId="10" applyNumberFormat="1" applyFont="1" applyFill="1" applyBorder="1" applyAlignment="1">
      <alignment vertical="center"/>
    </xf>
    <xf numFmtId="0" fontId="22" fillId="0" borderId="3" xfId="14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2" fontId="22" fillId="0" borderId="4" xfId="10" applyNumberFormat="1" applyFont="1" applyBorder="1" applyAlignment="1">
      <alignment vertical="top" wrapText="1"/>
    </xf>
    <xf numFmtId="2" fontId="22" fillId="0" borderId="4" xfId="14" applyNumberFormat="1" applyFont="1" applyBorder="1">
      <alignment vertical="center"/>
    </xf>
    <xf numFmtId="10" fontId="17" fillId="0" borderId="0" xfId="14" applyNumberFormat="1" applyFont="1">
      <alignment vertical="center"/>
    </xf>
    <xf numFmtId="2" fontId="17" fillId="0" borderId="8" xfId="14" applyNumberFormat="1" applyFont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 wrapText="1"/>
    </xf>
    <xf numFmtId="2" fontId="22" fillId="6" borderId="4" xfId="10" applyNumberFormat="1" applyFont="1" applyFill="1" applyBorder="1" applyAlignment="1">
      <alignment horizontal="right" vertical="center"/>
    </xf>
    <xf numFmtId="2" fontId="17" fillId="0" borderId="0" xfId="14" applyNumberFormat="1" applyFont="1">
      <alignment vertical="center"/>
    </xf>
    <xf numFmtId="170" fontId="17" fillId="0" borderId="0" xfId="14" applyNumberFormat="1" applyFont="1">
      <alignment vertical="center"/>
    </xf>
    <xf numFmtId="1" fontId="17" fillId="0" borderId="0" xfId="14" applyNumberFormat="1" applyFont="1">
      <alignment vertical="center"/>
    </xf>
    <xf numFmtId="4" fontId="17" fillId="0" borderId="0" xfId="10" applyNumberFormat="1" applyFont="1" applyAlignment="1">
      <alignment vertical="center"/>
    </xf>
    <xf numFmtId="168" fontId="17" fillId="0" borderId="0" xfId="10" applyNumberFormat="1" applyFont="1" applyAlignment="1">
      <alignment vertical="center"/>
    </xf>
    <xf numFmtId="164" fontId="17" fillId="0" borderId="4" xfId="70" applyFont="1" applyBorder="1" applyAlignment="1">
      <alignment horizontal="center" vertical="center"/>
    </xf>
    <xf numFmtId="164" fontId="17" fillId="0" borderId="4" xfId="70" applyFont="1" applyBorder="1" applyAlignment="1">
      <alignment vertical="center"/>
    </xf>
    <xf numFmtId="164" fontId="0" fillId="0" borderId="4" xfId="70" applyFont="1" applyBorder="1"/>
    <xf numFmtId="2" fontId="22" fillId="0" borderId="10" xfId="10" applyNumberFormat="1" applyFont="1" applyBorder="1" applyAlignment="1">
      <alignment vertical="center"/>
    </xf>
    <xf numFmtId="0" fontId="22" fillId="0" borderId="10" xfId="10" applyFont="1" applyBorder="1" applyAlignment="1">
      <alignment vertical="center" wrapText="1"/>
    </xf>
    <xf numFmtId="2" fontId="17" fillId="0" borderId="0" xfId="10" applyNumberFormat="1" applyFont="1" applyAlignment="1">
      <alignment horizontal="left" vertical="center"/>
    </xf>
    <xf numFmtId="164" fontId="17" fillId="0" borderId="0" xfId="10" applyNumberFormat="1" applyFont="1" applyAlignment="1">
      <alignment vertical="center"/>
    </xf>
    <xf numFmtId="0" fontId="9" fillId="0" borderId="4" xfId="14" applyFont="1" applyBorder="1" applyAlignment="1">
      <alignment vertical="center" wrapText="1"/>
    </xf>
    <xf numFmtId="2" fontId="17" fillId="0" borderId="0" xfId="10" applyNumberFormat="1" applyFont="1" applyAlignment="1">
      <alignment vertical="center"/>
    </xf>
    <xf numFmtId="2" fontId="22" fillId="6" borderId="4" xfId="14" applyNumberFormat="1" applyFont="1" applyFill="1" applyBorder="1" applyAlignment="1">
      <alignment horizontal="right" vertical="center"/>
    </xf>
    <xf numFmtId="2" fontId="22" fillId="5" borderId="4" xfId="14" applyNumberFormat="1" applyFont="1" applyFill="1" applyBorder="1" applyAlignment="1">
      <alignment horizontal="right" vertical="center"/>
    </xf>
    <xf numFmtId="2" fontId="22" fillId="0" borderId="4" xfId="14" applyNumberFormat="1" applyFont="1" applyBorder="1" applyAlignment="1">
      <alignment horizontal="right" vertical="center"/>
    </xf>
    <xf numFmtId="169" fontId="22" fillId="6" borderId="4" xfId="14" applyNumberFormat="1" applyFont="1" applyFill="1" applyBorder="1" applyAlignment="1">
      <alignment horizontal="right" vertical="center"/>
    </xf>
    <xf numFmtId="2" fontId="22" fillId="6" borderId="10" xfId="14" applyNumberFormat="1" applyFont="1" applyFill="1" applyBorder="1" applyAlignment="1">
      <alignment horizontal="right" vertical="center"/>
    </xf>
    <xf numFmtId="175" fontId="17" fillId="0" borderId="8" xfId="38" applyNumberFormat="1" applyFont="1" applyBorder="1" applyAlignment="1">
      <alignment vertical="center"/>
    </xf>
    <xf numFmtId="175" fontId="17" fillId="0" borderId="8" xfId="14" applyNumberFormat="1" applyFont="1" applyBorder="1">
      <alignment vertical="center"/>
    </xf>
    <xf numFmtId="175" fontId="22" fillId="6" borderId="8" xfId="14" applyNumberFormat="1" applyFont="1" applyFill="1" applyBorder="1">
      <alignment vertical="center"/>
    </xf>
    <xf numFmtId="0" fontId="0" fillId="0" borderId="10" xfId="0" applyBorder="1"/>
    <xf numFmtId="0" fontId="17" fillId="0" borderId="10" xfId="10" applyFont="1" applyBorder="1" applyAlignment="1">
      <alignment horizontal="center" vertical="center"/>
    </xf>
    <xf numFmtId="2" fontId="17" fillId="0" borderId="4" xfId="14" applyNumberFormat="1" applyFont="1" applyBorder="1" applyAlignment="1">
      <alignment horizontal="right" vertical="center" wrapText="1"/>
    </xf>
    <xf numFmtId="164" fontId="30" fillId="7" borderId="10" xfId="94" applyFont="1" applyFill="1" applyBorder="1"/>
    <xf numFmtId="2" fontId="31" fillId="0" borderId="10" xfId="10" applyNumberFormat="1" applyFont="1" applyBorder="1" applyAlignment="1">
      <alignment horizontal="center" vertical="center"/>
    </xf>
    <xf numFmtId="169" fontId="31" fillId="0" borderId="10" xfId="10" applyNumberFormat="1" applyFont="1" applyBorder="1" applyAlignment="1">
      <alignment horizontal="right" vertical="center"/>
    </xf>
    <xf numFmtId="2" fontId="31" fillId="0" borderId="10" xfId="10" applyNumberFormat="1" applyFont="1" applyBorder="1" applyAlignment="1">
      <alignment horizontal="right" vertical="center"/>
    </xf>
    <xf numFmtId="2" fontId="32" fillId="0" borderId="10" xfId="10" applyNumberFormat="1" applyFont="1" applyBorder="1" applyAlignment="1">
      <alignment horizontal="right" vertical="center"/>
    </xf>
    <xf numFmtId="2" fontId="31" fillId="0" borderId="10" xfId="10" applyNumberFormat="1" applyFont="1" applyBorder="1" applyAlignment="1">
      <alignment vertical="center"/>
    </xf>
    <xf numFmtId="2" fontId="10" fillId="4" borderId="10" xfId="67" applyNumberFormat="1" applyFont="1" applyFill="1" applyBorder="1" applyAlignment="1">
      <alignment horizontal="right" vertical="center"/>
    </xf>
    <xf numFmtId="0" fontId="22" fillId="0" borderId="10" xfId="10" applyFont="1" applyBorder="1" applyAlignment="1">
      <alignment horizontal="center" vertical="center" wrapText="1"/>
    </xf>
    <xf numFmtId="16" fontId="22" fillId="0" borderId="10" xfId="10" applyNumberFormat="1" applyFont="1" applyBorder="1" applyAlignment="1">
      <alignment horizontal="center" vertical="center" wrapText="1"/>
    </xf>
    <xf numFmtId="0" fontId="17" fillId="0" borderId="10" xfId="10" applyFont="1" applyBorder="1" applyAlignment="1">
      <alignment horizontal="center" vertical="center" wrapText="1"/>
    </xf>
    <xf numFmtId="0" fontId="17" fillId="0" borderId="10" xfId="10" applyFont="1" applyBorder="1" applyAlignment="1">
      <alignment horizontal="left" vertical="center" wrapText="1"/>
    </xf>
    <xf numFmtId="0" fontId="22" fillId="0" borderId="10" xfId="10" applyFont="1" applyBorder="1" applyAlignment="1">
      <alignment vertical="center"/>
    </xf>
    <xf numFmtId="2" fontId="22" fillId="6" borderId="10" xfId="10" applyNumberFormat="1" applyFont="1" applyFill="1" applyBorder="1" applyAlignment="1">
      <alignment vertical="center"/>
    </xf>
    <xf numFmtId="0" fontId="22" fillId="0" borderId="10" xfId="10" applyFont="1" applyBorder="1" applyAlignment="1">
      <alignment horizontal="left" vertical="center" wrapText="1"/>
    </xf>
    <xf numFmtId="0" fontId="22" fillId="0" borderId="10" xfId="10" applyFont="1" applyBorder="1" applyAlignment="1">
      <alignment horizontal="right" vertical="center" wrapText="1"/>
    </xf>
    <xf numFmtId="0" fontId="17" fillId="0" borderId="10" xfId="10" applyFont="1" applyBorder="1" applyAlignment="1">
      <alignment vertical="center"/>
    </xf>
    <xf numFmtId="2" fontId="22" fillId="0" borderId="10" xfId="10" applyNumberFormat="1" applyFont="1" applyBorder="1" applyAlignment="1">
      <alignment horizontal="right" vertical="center"/>
    </xf>
    <xf numFmtId="164" fontId="1" fillId="0" borderId="10" xfId="70" applyFont="1" applyBorder="1"/>
    <xf numFmtId="164" fontId="1" fillId="0" borderId="10" xfId="462" applyNumberFormat="1" applyBorder="1"/>
    <xf numFmtId="164" fontId="1" fillId="0" borderId="10" xfId="465" applyNumberFormat="1" applyBorder="1"/>
    <xf numFmtId="164" fontId="1" fillId="0" borderId="10" xfId="466" applyNumberFormat="1" applyBorder="1"/>
    <xf numFmtId="164" fontId="33" fillId="0" borderId="10" xfId="466" applyNumberFormat="1" applyFont="1" applyBorder="1"/>
    <xf numFmtId="10" fontId="25" fillId="0" borderId="10" xfId="0" applyNumberFormat="1" applyFont="1" applyBorder="1"/>
    <xf numFmtId="0" fontId="22" fillId="4" borderId="10" xfId="67" applyFont="1" applyFill="1" applyBorder="1" applyAlignment="1">
      <alignment horizontal="center" vertical="center" wrapText="1"/>
    </xf>
    <xf numFmtId="0" fontId="10" fillId="4" borderId="10" xfId="67" applyFont="1" applyFill="1" applyBorder="1" applyAlignment="1">
      <alignment horizontal="center" vertical="center"/>
    </xf>
    <xf numFmtId="0" fontId="10" fillId="4" borderId="10" xfId="67" applyFont="1" applyFill="1" applyBorder="1" applyAlignment="1">
      <alignment horizontal="left" vertical="center"/>
    </xf>
    <xf numFmtId="164" fontId="25" fillId="0" borderId="10" xfId="70" applyFont="1" applyBorder="1"/>
    <xf numFmtId="164" fontId="17" fillId="0" borderId="10" xfId="70" applyFont="1" applyBorder="1"/>
    <xf numFmtId="2" fontId="22" fillId="6" borderId="10" xfId="19" applyNumberFormat="1" applyFont="1" applyFill="1" applyBorder="1" applyAlignment="1">
      <alignment horizontal="right" vertical="center"/>
    </xf>
    <xf numFmtId="0" fontId="17" fillId="4" borderId="10" xfId="67" applyFont="1" applyFill="1" applyBorder="1" applyAlignment="1">
      <alignment horizontal="right" vertical="center"/>
    </xf>
    <xf numFmtId="0" fontId="22" fillId="4" borderId="10" xfId="67" applyFont="1" applyFill="1" applyBorder="1" applyAlignment="1">
      <alignment horizontal="right" vertical="center"/>
    </xf>
    <xf numFmtId="10" fontId="22" fillId="6" borderId="10" xfId="67" applyNumberFormat="1" applyFont="1" applyFill="1" applyBorder="1" applyAlignment="1">
      <alignment horizontal="right" vertical="center"/>
    </xf>
    <xf numFmtId="0" fontId="17" fillId="4" borderId="10" xfId="67" applyFont="1" applyFill="1" applyBorder="1" applyAlignment="1">
      <alignment horizontal="center" vertical="center"/>
    </xf>
    <xf numFmtId="0" fontId="22" fillId="4" borderId="10" xfId="67" applyFont="1" applyFill="1" applyBorder="1" applyAlignment="1">
      <alignment horizontal="center" vertical="center"/>
    </xf>
    <xf numFmtId="10" fontId="22" fillId="6" borderId="10" xfId="67" applyNumberFormat="1" applyFont="1" applyFill="1" applyBorder="1" applyAlignment="1">
      <alignment horizontal="center" vertical="center"/>
    </xf>
    <xf numFmtId="2" fontId="22" fillId="6" borderId="10" xfId="19" applyNumberFormat="1" applyFont="1" applyFill="1" applyBorder="1" applyAlignment="1">
      <alignment horizontal="center" vertical="center"/>
    </xf>
    <xf numFmtId="164" fontId="17" fillId="0" borderId="10" xfId="14" applyNumberFormat="1" applyFont="1" applyBorder="1">
      <alignment vertical="center"/>
    </xf>
    <xf numFmtId="2" fontId="17" fillId="4" borderId="10" xfId="67" applyNumberFormat="1" applyFont="1" applyFill="1" applyBorder="1" applyAlignment="1">
      <alignment horizontal="right" vertical="center"/>
    </xf>
    <xf numFmtId="0" fontId="31" fillId="0" borderId="0" xfId="10" applyFont="1" applyAlignment="1">
      <alignment vertical="center"/>
    </xf>
    <xf numFmtId="0" fontId="32" fillId="0" borderId="0" xfId="14" applyFont="1" applyAlignment="1">
      <alignment horizontal="center" vertical="center"/>
    </xf>
    <xf numFmtId="0" fontId="32" fillId="0" borderId="0" xfId="10" applyFont="1" applyAlignment="1">
      <alignment horizontal="left" vertical="center"/>
    </xf>
    <xf numFmtId="0" fontId="31" fillId="0" borderId="0" xfId="14" applyFont="1">
      <alignment vertical="center"/>
    </xf>
    <xf numFmtId="0" fontId="32" fillId="0" borderId="0" xfId="10" applyFont="1" applyAlignment="1">
      <alignment horizontal="center" vertical="center"/>
    </xf>
    <xf numFmtId="0" fontId="32" fillId="0" borderId="0" xfId="14" applyFont="1">
      <alignment vertical="center"/>
    </xf>
    <xf numFmtId="0" fontId="31" fillId="0" borderId="10" xfId="10" applyFont="1" applyBorder="1" applyAlignment="1">
      <alignment horizontal="center" vertical="center" wrapText="1"/>
    </xf>
    <xf numFmtId="0" fontId="31" fillId="0" borderId="7" xfId="10" applyFont="1" applyBorder="1" applyAlignment="1">
      <alignment horizontal="center" vertical="center" wrapText="1"/>
    </xf>
    <xf numFmtId="0" fontId="32" fillId="0" borderId="7" xfId="10" applyFont="1" applyBorder="1" applyAlignment="1">
      <alignment horizontal="center" vertical="center" wrapText="1"/>
    </xf>
    <xf numFmtId="0" fontId="32" fillId="0" borderId="10" xfId="10" applyFont="1" applyBorder="1" applyAlignment="1">
      <alignment horizontal="center" vertical="center" wrapText="1"/>
    </xf>
    <xf numFmtId="16" fontId="32" fillId="0" borderId="10" xfId="10" applyNumberFormat="1" applyFont="1" applyBorder="1" applyAlignment="1">
      <alignment horizontal="center" vertical="center" wrapText="1"/>
    </xf>
    <xf numFmtId="0" fontId="32" fillId="0" borderId="7" xfId="10" applyFont="1" applyBorder="1" applyAlignment="1">
      <alignment horizontal="center" vertical="center"/>
    </xf>
    <xf numFmtId="0" fontId="31" fillId="0" borderId="7" xfId="10" applyFont="1" applyBorder="1" applyAlignment="1">
      <alignment vertical="center" wrapText="1"/>
    </xf>
    <xf numFmtId="0" fontId="31" fillId="0" borderId="10" xfId="10" applyFont="1" applyBorder="1" applyAlignment="1">
      <alignment vertical="center" wrapText="1"/>
    </xf>
    <xf numFmtId="0" fontId="32" fillId="0" borderId="8" xfId="10" applyFont="1" applyBorder="1" applyAlignment="1">
      <alignment vertical="center" wrapText="1"/>
    </xf>
    <xf numFmtId="0" fontId="32" fillId="0" borderId="10" xfId="10" applyFont="1" applyBorder="1" applyAlignment="1">
      <alignment vertical="center" wrapText="1"/>
    </xf>
    <xf numFmtId="2" fontId="32" fillId="0" borderId="10" xfId="10" applyNumberFormat="1" applyFont="1" applyBorder="1" applyAlignment="1">
      <alignment vertical="center"/>
    </xf>
    <xf numFmtId="164" fontId="17" fillId="0" borderId="4" xfId="14" applyNumberFormat="1" applyFont="1" applyBorder="1">
      <alignment vertical="center"/>
    </xf>
    <xf numFmtId="0" fontId="32" fillId="0" borderId="0" xfId="10" applyFont="1" applyAlignment="1">
      <alignment vertical="center"/>
    </xf>
    <xf numFmtId="0" fontId="32" fillId="0" borderId="10" xfId="14" applyFont="1" applyBorder="1">
      <alignment vertical="center"/>
    </xf>
    <xf numFmtId="2" fontId="32" fillId="0" borderId="10" xfId="10" applyNumberFormat="1" applyFont="1" applyBorder="1" applyAlignment="1">
      <alignment horizontal="center" vertical="center"/>
    </xf>
    <xf numFmtId="0" fontId="30" fillId="0" borderId="0" xfId="0" applyFont="1"/>
    <xf numFmtId="2" fontId="0" fillId="0" borderId="0" xfId="0" applyNumberFormat="1"/>
    <xf numFmtId="0" fontId="22" fillId="0" borderId="0" xfId="10" applyFont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7" xfId="10" applyFont="1" applyBorder="1" applyAlignment="1">
      <alignment horizontal="center" vertical="center" wrapText="1"/>
    </xf>
    <xf numFmtId="0" fontId="14" fillId="0" borderId="0" xfId="14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4" fillId="0" borderId="0" xfId="10" applyFont="1" applyAlignment="1">
      <alignment horizontal="center" vertical="center" wrapText="1"/>
    </xf>
    <xf numFmtId="0" fontId="9" fillId="0" borderId="0" xfId="10" applyFont="1" applyAlignment="1">
      <alignment horizontal="center" vertical="center" wrapText="1"/>
    </xf>
    <xf numFmtId="0" fontId="22" fillId="0" borderId="7" xfId="14" applyFont="1" applyBorder="1" applyAlignment="1">
      <alignment horizontal="center" vertical="center"/>
    </xf>
    <xf numFmtId="0" fontId="22" fillId="0" borderId="9" xfId="14" applyFont="1" applyBorder="1" applyAlignment="1">
      <alignment horizontal="center" vertical="center"/>
    </xf>
    <xf numFmtId="0" fontId="22" fillId="0" borderId="6" xfId="14" applyFont="1" applyBorder="1" applyAlignment="1">
      <alignment horizontal="center" vertical="center"/>
    </xf>
    <xf numFmtId="0" fontId="22" fillId="0" borderId="7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17" fillId="0" borderId="6" xfId="10" applyFont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0" applyFont="1" applyBorder="1" applyAlignment="1">
      <alignment horizontal="center" vertical="center" wrapText="1"/>
    </xf>
    <xf numFmtId="0" fontId="22" fillId="0" borderId="5" xfId="14" applyFont="1" applyBorder="1" applyAlignment="1">
      <alignment horizontal="center" vertical="center" wrapText="1"/>
    </xf>
    <xf numFmtId="0" fontId="22" fillId="0" borderId="3" xfId="14" applyFont="1" applyBorder="1" applyAlignment="1">
      <alignment horizontal="center" vertical="center" wrapText="1"/>
    </xf>
    <xf numFmtId="0" fontId="22" fillId="0" borderId="8" xfId="14" applyFont="1" applyBorder="1" applyAlignment="1">
      <alignment horizontal="center" vertical="center" wrapText="1"/>
    </xf>
    <xf numFmtId="0" fontId="22" fillId="0" borderId="0" xfId="10" applyFont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4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2" fillId="0" borderId="9" xfId="10" applyFont="1" applyBorder="1" applyAlignment="1">
      <alignment horizontal="center" vertical="center" wrapText="1"/>
    </xf>
    <xf numFmtId="0" fontId="22" fillId="0" borderId="6" xfId="10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/>
    </xf>
    <xf numFmtId="0" fontId="22" fillId="0" borderId="4" xfId="10" applyFont="1" applyBorder="1" applyAlignment="1">
      <alignment horizontal="center" vertical="center"/>
    </xf>
    <xf numFmtId="0" fontId="22" fillId="4" borderId="10" xfId="67" applyFont="1" applyFill="1" applyBorder="1" applyAlignment="1">
      <alignment horizontal="center" vertical="center" wrapText="1"/>
    </xf>
    <xf numFmtId="0" fontId="22" fillId="4" borderId="10" xfId="67" applyFont="1" applyFill="1" applyBorder="1" applyAlignment="1">
      <alignment horizontal="center" vertical="center"/>
    </xf>
    <xf numFmtId="0" fontId="22" fillId="4" borderId="10" xfId="67" quotePrefix="1" applyFont="1" applyFill="1" applyBorder="1" applyAlignment="1">
      <alignment horizontal="center" vertical="center" wrapText="1"/>
    </xf>
    <xf numFmtId="0" fontId="22" fillId="0" borderId="3" xfId="10" applyFont="1" applyBorder="1" applyAlignment="1">
      <alignment horizontal="center" vertical="center"/>
    </xf>
    <xf numFmtId="0" fontId="22" fillId="0" borderId="8" xfId="10" applyFont="1" applyBorder="1" applyAlignment="1">
      <alignment horizontal="center" vertical="center"/>
    </xf>
    <xf numFmtId="0" fontId="10" fillId="0" borderId="4" xfId="10" applyBorder="1" applyAlignment="1">
      <alignment horizontal="center" vertical="center" wrapText="1"/>
    </xf>
    <xf numFmtId="0" fontId="10" fillId="0" borderId="4" xfId="10" applyBorder="1" applyAlignment="1">
      <alignment horizontal="center" vertical="center"/>
    </xf>
    <xf numFmtId="0" fontId="22" fillId="0" borderId="5" xfId="10" applyFont="1" applyBorder="1" applyAlignment="1">
      <alignment horizontal="center" vertical="center"/>
    </xf>
    <xf numFmtId="0" fontId="22" fillId="0" borderId="0" xfId="14" applyFont="1" applyAlignment="1">
      <alignment horizontal="center" vertical="center"/>
    </xf>
    <xf numFmtId="0" fontId="22" fillId="0" borderId="10" xfId="14" applyFont="1" applyBorder="1" applyAlignment="1">
      <alignment horizontal="center" vertical="center" wrapText="1"/>
    </xf>
    <xf numFmtId="0" fontId="22" fillId="0" borderId="10" xfId="10" applyFont="1" applyBorder="1" applyAlignment="1">
      <alignment horizontal="center" vertical="center"/>
    </xf>
    <xf numFmtId="0" fontId="35" fillId="0" borderId="10" xfId="10" applyFont="1" applyBorder="1" applyAlignment="1">
      <alignment horizontal="center" vertical="center" wrapText="1"/>
    </xf>
    <xf numFmtId="0" fontId="22" fillId="0" borderId="7" xfId="10" applyFont="1" applyBorder="1" applyAlignment="1">
      <alignment vertical="top" wrapText="1"/>
    </xf>
    <xf numFmtId="2" fontId="22" fillId="0" borderId="7" xfId="10" applyNumberFormat="1" applyFont="1" applyBorder="1" applyAlignment="1">
      <alignment horizontal="center" vertical="center" wrapText="1"/>
    </xf>
    <xf numFmtId="2" fontId="22" fillId="0" borderId="10" xfId="10" applyNumberFormat="1" applyFont="1" applyBorder="1" applyAlignment="1">
      <alignment horizontal="center" vertical="center"/>
    </xf>
    <xf numFmtId="0" fontId="22" fillId="0" borderId="7" xfId="10" applyFont="1" applyBorder="1" applyAlignment="1">
      <alignment horizontal="left" vertical="center" wrapText="1"/>
    </xf>
    <xf numFmtId="0" fontId="17" fillId="0" borderId="10" xfId="10" applyFont="1" applyBorder="1" applyAlignment="1">
      <alignment horizontal="left" vertical="center"/>
    </xf>
    <xf numFmtId="0" fontId="30" fillId="0" borderId="10" xfId="0" applyFont="1" applyBorder="1" applyAlignment="1">
      <alignment horizontal="center" vertical="center" wrapText="1"/>
    </xf>
    <xf numFmtId="0" fontId="17" fillId="0" borderId="7" xfId="10" applyFont="1" applyBorder="1" applyAlignment="1">
      <alignment vertical="center"/>
    </xf>
    <xf numFmtId="0" fontId="30" fillId="0" borderId="10" xfId="0" applyFont="1" applyBorder="1" applyAlignment="1">
      <alignment vertical="center" wrapText="1"/>
    </xf>
    <xf numFmtId="0" fontId="30" fillId="0" borderId="10" xfId="0" applyFont="1" applyBorder="1" applyAlignment="1">
      <alignment vertical="top" wrapText="1"/>
    </xf>
    <xf numFmtId="0" fontId="17" fillId="0" borderId="10" xfId="0" applyFont="1" applyBorder="1" applyAlignment="1">
      <alignment vertical="top" wrapText="1"/>
    </xf>
    <xf numFmtId="0" fontId="30" fillId="0" borderId="7" xfId="0" applyFont="1" applyBorder="1" applyAlignment="1">
      <alignment vertical="center" wrapText="1"/>
    </xf>
  </cellXfs>
  <cellStyles count="467">
    <cellStyle name="Body" xfId="1"/>
    <cellStyle name="Comma" xfId="70" builtinId="3"/>
    <cellStyle name="Comma  - Style1" xfId="2"/>
    <cellStyle name="Comma 10" xfId="94"/>
    <cellStyle name="Comma 10 2" xfId="95"/>
    <cellStyle name="Comma 10 3" xfId="251"/>
    <cellStyle name="Comma 10 4" xfId="264"/>
    <cellStyle name="Comma 11" xfId="96"/>
    <cellStyle name="Comma 11 2" xfId="19"/>
    <cellStyle name="Comma 11 2 10" xfId="435"/>
    <cellStyle name="Comma 11 2 2" xfId="97"/>
    <cellStyle name="Comma 11 2 2 2" xfId="98"/>
    <cellStyle name="Comma 11 2 2 3" xfId="92"/>
    <cellStyle name="Comma 11 2 2 4" xfId="347"/>
    <cellStyle name="Comma 11 2 2 5" xfId="366"/>
    <cellStyle name="Comma 11 2 2 6" xfId="384"/>
    <cellStyle name="Comma 11 2 2 7" xfId="400"/>
    <cellStyle name="Comma 11 2 2 8" xfId="416"/>
    <cellStyle name="Comma 11 2 3" xfId="208"/>
    <cellStyle name="Comma 11 2 4" xfId="348"/>
    <cellStyle name="Comma 11 2 5" xfId="357"/>
    <cellStyle name="Comma 11 2 6" xfId="375"/>
    <cellStyle name="Comma 11 2 7" xfId="393"/>
    <cellStyle name="Comma 11 2 8" xfId="409"/>
    <cellStyle name="Comma 11 2 9" xfId="71"/>
    <cellStyle name="Comma 11 2_F2.1" xfId="459"/>
    <cellStyle name="Comma 12" xfId="99"/>
    <cellStyle name="Comma 13" xfId="100"/>
    <cellStyle name="Comma 14" xfId="101"/>
    <cellStyle name="Comma 15" xfId="102"/>
    <cellStyle name="Comma 15 2" xfId="103"/>
    <cellStyle name="Comma 15 2 2" xfId="104"/>
    <cellStyle name="Comma 15 2 2 2" xfId="105"/>
    <cellStyle name="Comma 15 2 2 3" xfId="248"/>
    <cellStyle name="Comma 15 2 2 4" xfId="261"/>
    <cellStyle name="Comma 15 2 3" xfId="106"/>
    <cellStyle name="Comma 15 2 4" xfId="107"/>
    <cellStyle name="Comma 15 2 5" xfId="108"/>
    <cellStyle name="Comma 15 2 6" xfId="109"/>
    <cellStyle name="Comma 15 2 7" xfId="110"/>
    <cellStyle name="Comma 15 2 8" xfId="111"/>
    <cellStyle name="Comma 15 3" xfId="112"/>
    <cellStyle name="Comma 15 4" xfId="113"/>
    <cellStyle name="Comma 15 5" xfId="114"/>
    <cellStyle name="Comma 15 6" xfId="115"/>
    <cellStyle name="Comma 15 7" xfId="116"/>
    <cellStyle name="Comma 15 8" xfId="117"/>
    <cellStyle name="Comma 16" xfId="118"/>
    <cellStyle name="Comma 16 2" xfId="119"/>
    <cellStyle name="Comma 16 3" xfId="120"/>
    <cellStyle name="Comma 16 4" xfId="121"/>
    <cellStyle name="Comma 16 5" xfId="122"/>
    <cellStyle name="Comma 16 6" xfId="123"/>
    <cellStyle name="Comma 16 7" xfId="124"/>
    <cellStyle name="Comma 16 8" xfId="125"/>
    <cellStyle name="Comma 17" xfId="126"/>
    <cellStyle name="Comma 18" xfId="127"/>
    <cellStyle name="Comma 18 2" xfId="128"/>
    <cellStyle name="Comma 18 2 2" xfId="129"/>
    <cellStyle name="Comma 19" xfId="130"/>
    <cellStyle name="Comma 2" xfId="24"/>
    <cellStyle name="Comma 2 10" xfId="247"/>
    <cellStyle name="Comma 2 11" xfId="260"/>
    <cellStyle name="Comma 2 12" xfId="285"/>
    <cellStyle name="Comma 2 13" xfId="327"/>
    <cellStyle name="Comma 2 14" xfId="280"/>
    <cellStyle name="Comma 2 15" xfId="367"/>
    <cellStyle name="Comma 2 16" xfId="385"/>
    <cellStyle name="Comma 2 17" xfId="401"/>
    <cellStyle name="Comma 2 18" xfId="72"/>
    <cellStyle name="Comma 2 2" xfId="25"/>
    <cellStyle name="Comma 2 2 10" xfId="325"/>
    <cellStyle name="Comma 2 2 11" xfId="282"/>
    <cellStyle name="Comma 2 2 12" xfId="331"/>
    <cellStyle name="Comma 2 2 13" xfId="276"/>
    <cellStyle name="Comma 2 2 14" xfId="336"/>
    <cellStyle name="Comma 2 2 15" xfId="73"/>
    <cellStyle name="Comma 2 2 2" xfId="62"/>
    <cellStyle name="Comma 2 2 2 2" xfId="133"/>
    <cellStyle name="Comma 2 2 2 3" xfId="287"/>
    <cellStyle name="Comma 2 2 2 4" xfId="324"/>
    <cellStyle name="Comma 2 2 2 5" xfId="283"/>
    <cellStyle name="Comma 2 2 2 6" xfId="330"/>
    <cellStyle name="Comma 2 2 2 7" xfId="277"/>
    <cellStyle name="Comma 2 2 2 8" xfId="334"/>
    <cellStyle name="Comma 2 2 3" xfId="132"/>
    <cellStyle name="Comma 2 2 4" xfId="135"/>
    <cellStyle name="Comma 2 2 5" xfId="136"/>
    <cellStyle name="Comma 2 2 6" xfId="137"/>
    <cellStyle name="Comma 2 2 7" xfId="138"/>
    <cellStyle name="Comma 2 2 8" xfId="139"/>
    <cellStyle name="Comma 2 2 9" xfId="286"/>
    <cellStyle name="Comma 2 3" xfId="26"/>
    <cellStyle name="Comma 2 3 2" xfId="140"/>
    <cellStyle name="Comma 2 3 3" xfId="295"/>
    <cellStyle name="Comma 2 3 4" xfId="312"/>
    <cellStyle name="Comma 2 3 5" xfId="298"/>
    <cellStyle name="Comma 2 3 6" xfId="311"/>
    <cellStyle name="Comma 2 3 7" xfId="299"/>
    <cellStyle name="Comma 2 3 8" xfId="310"/>
    <cellStyle name="Comma 2 3 9" xfId="74"/>
    <cellStyle name="Comma 2 4" xfId="55"/>
    <cellStyle name="Comma 2 4 2" xfId="141"/>
    <cellStyle name="Comma 2 4 3" xfId="296"/>
    <cellStyle name="Comma 2 4 4" xfId="365"/>
    <cellStyle name="Comma 2 4 5" xfId="383"/>
    <cellStyle name="Comma 2 4 6" xfId="399"/>
    <cellStyle name="Comma 2 4 7" xfId="415"/>
    <cellStyle name="Comma 2 4 8" xfId="428"/>
    <cellStyle name="Comma 2 5" xfId="131"/>
    <cellStyle name="Comma 2 6" xfId="143"/>
    <cellStyle name="Comma 2 7" xfId="144"/>
    <cellStyle name="Comma 2 8" xfId="145"/>
    <cellStyle name="Comma 2 9" xfId="146"/>
    <cellStyle name="Comma 2_F2.1" xfId="460"/>
    <cellStyle name="Comma 20" xfId="147"/>
    <cellStyle name="Comma 21" xfId="148"/>
    <cellStyle name="Comma 22" xfId="149"/>
    <cellStyle name="Comma 23" xfId="150"/>
    <cellStyle name="Comma 24" xfId="151"/>
    <cellStyle name="Comma 25" xfId="152"/>
    <cellStyle name="Comma 26" xfId="153"/>
    <cellStyle name="Comma 27" xfId="154"/>
    <cellStyle name="Comma 28" xfId="155"/>
    <cellStyle name="Comma 29" xfId="156"/>
    <cellStyle name="Comma 3" xfId="27"/>
    <cellStyle name="Comma 3 10" xfId="75"/>
    <cellStyle name="Comma 3 2" xfId="61"/>
    <cellStyle name="Comma 3 2 2" xfId="76"/>
    <cellStyle name="Comma 3 2 3" xfId="436"/>
    <cellStyle name="Comma 3 3" xfId="157"/>
    <cellStyle name="Comma 3 4" xfId="301"/>
    <cellStyle name="Comma 3 5" xfId="361"/>
    <cellStyle name="Comma 3 6" xfId="379"/>
    <cellStyle name="Comma 3 7" xfId="396"/>
    <cellStyle name="Comma 3 8" xfId="412"/>
    <cellStyle name="Comma 3 9" xfId="426"/>
    <cellStyle name="Comma 3_F2.1" xfId="461"/>
    <cellStyle name="Comma 30" xfId="158"/>
    <cellStyle name="Comma 31" xfId="159"/>
    <cellStyle name="Comma 32" xfId="160"/>
    <cellStyle name="Comma 33" xfId="161"/>
    <cellStyle name="Comma 34" xfId="162"/>
    <cellStyle name="Comma 35" xfId="163"/>
    <cellStyle name="Comma 36" xfId="164"/>
    <cellStyle name="Comma 37" xfId="165"/>
    <cellStyle name="Comma 38" xfId="249"/>
    <cellStyle name="Comma 39" xfId="254"/>
    <cellStyle name="Comma 4" xfId="28"/>
    <cellStyle name="Comma 4 10" xfId="77"/>
    <cellStyle name="Comma 4 2" xfId="63"/>
    <cellStyle name="Comma 4 2 10" xfId="437"/>
    <cellStyle name="Comma 4 2 2" xfId="167"/>
    <cellStyle name="Comma 4 2 3" xfId="305"/>
    <cellStyle name="Comma 4 2 4" xfId="359"/>
    <cellStyle name="Comma 4 2 5" xfId="377"/>
    <cellStyle name="Comma 4 2 6" xfId="395"/>
    <cellStyle name="Comma 4 2 7" xfId="411"/>
    <cellStyle name="Comma 4 2 8" xfId="425"/>
    <cellStyle name="Comma 4 2 9" xfId="78"/>
    <cellStyle name="Comma 4 3" xfId="168"/>
    <cellStyle name="Comma 4 4" xfId="169"/>
    <cellStyle name="Comma 4 5" xfId="170"/>
    <cellStyle name="Comma 4 6" xfId="171"/>
    <cellStyle name="Comma 4 7" xfId="172"/>
    <cellStyle name="Comma 4 8" xfId="173"/>
    <cellStyle name="Comma 4 9" xfId="174"/>
    <cellStyle name="Comma 40" xfId="256"/>
    <cellStyle name="Comma 41" xfId="258"/>
    <cellStyle name="Comma 42" xfId="262"/>
    <cellStyle name="Comma 43" xfId="266"/>
    <cellStyle name="Comma 44" xfId="451"/>
    <cellStyle name="Comma 45" xfId="453"/>
    <cellStyle name="Comma 46" xfId="455"/>
    <cellStyle name="Comma 47" xfId="457"/>
    <cellStyle name="Comma 48" xfId="458"/>
    <cellStyle name="Comma 49" xfId="421"/>
    <cellStyle name="Comma 5" xfId="29"/>
    <cellStyle name="Comma 5 10" xfId="176"/>
    <cellStyle name="Comma 5 11" xfId="308"/>
    <cellStyle name="Comma 5 12" xfId="302"/>
    <cellStyle name="Comma 5 13" xfId="307"/>
    <cellStyle name="Comma 5 14" xfId="303"/>
    <cellStyle name="Comma 5 15" xfId="306"/>
    <cellStyle name="Comma 5 16" xfId="304"/>
    <cellStyle name="Comma 5 17" xfId="79"/>
    <cellStyle name="Comma 5 18" xfId="438"/>
    <cellStyle name="Comma 5 2" xfId="175"/>
    <cellStyle name="Comma 5 2 2" xfId="177"/>
    <cellStyle name="Comma 5 2 3" xfId="309"/>
    <cellStyle name="Comma 5 2 4" xfId="300"/>
    <cellStyle name="Comma 5 2 5" xfId="364"/>
    <cellStyle name="Comma 5 2 6" xfId="382"/>
    <cellStyle name="Comma 5 2 7" xfId="398"/>
    <cellStyle name="Comma 5 2 8" xfId="414"/>
    <cellStyle name="Comma 5 3" xfId="178"/>
    <cellStyle name="Comma 5 3 2" xfId="179"/>
    <cellStyle name="Comma 5 3 3" xfId="180"/>
    <cellStyle name="Comma 5 3 4" xfId="181"/>
    <cellStyle name="Comma 5 3 5" xfId="182"/>
    <cellStyle name="Comma 5 3 6" xfId="183"/>
    <cellStyle name="Comma 5 3 7" xfId="184"/>
    <cellStyle name="Comma 5 3 8" xfId="185"/>
    <cellStyle name="Comma 5 4" xfId="186"/>
    <cellStyle name="Comma 5 4 2" xfId="187"/>
    <cellStyle name="Comma 5 4 2 2" xfId="188"/>
    <cellStyle name="Comma 5 4 2 3" xfId="250"/>
    <cellStyle name="Comma 5 4 2 4" xfId="263"/>
    <cellStyle name="Comma 5 5" xfId="189"/>
    <cellStyle name="Comma 5 6" xfId="190"/>
    <cellStyle name="Comma 5 7" xfId="191"/>
    <cellStyle name="Comma 5 8" xfId="192"/>
    <cellStyle name="Comma 5 9" xfId="193"/>
    <cellStyle name="Comma 6" xfId="47"/>
    <cellStyle name="Comma 6 2" xfId="48"/>
    <cellStyle name="Comma 6 3" xfId="49"/>
    <cellStyle name="Comma 6 4" xfId="50"/>
    <cellStyle name="Comma 6 5" xfId="80"/>
    <cellStyle name="Comma 7" xfId="21"/>
    <cellStyle name="Comma 7 2" xfId="195"/>
    <cellStyle name="Comma 7 3" xfId="317"/>
    <cellStyle name="Comma 7 4" xfId="291"/>
    <cellStyle name="Comma 7 5" xfId="315"/>
    <cellStyle name="Comma 7 6" xfId="293"/>
    <cellStyle name="Comma 7 7" xfId="313"/>
    <cellStyle name="Comma 7 8" xfId="297"/>
    <cellStyle name="Comma 8" xfId="64"/>
    <cellStyle name="Comma 8 10" xfId="439"/>
    <cellStyle name="Comma 8 2" xfId="196"/>
    <cellStyle name="Comma 8 3" xfId="318"/>
    <cellStyle name="Comma 8 4" xfId="290"/>
    <cellStyle name="Comma 8 5" xfId="316"/>
    <cellStyle name="Comma 8 6" xfId="292"/>
    <cellStyle name="Comma 8 7" xfId="314"/>
    <cellStyle name="Comma 8 8" xfId="294"/>
    <cellStyle name="Comma 8 9" xfId="81"/>
    <cellStyle name="Comma 9" xfId="93"/>
    <cellStyle name="Comma 9 2" xfId="197"/>
    <cellStyle name="Comma 9 3" xfId="319"/>
    <cellStyle name="Comma 9 4" xfId="289"/>
    <cellStyle name="Comma 9 5" xfId="320"/>
    <cellStyle name="Comma 9 6" xfId="288"/>
    <cellStyle name="Comma 9 7" xfId="242"/>
    <cellStyle name="Comma 9 8" xfId="353"/>
    <cellStyle name="Curren - Style2" xfId="3"/>
    <cellStyle name="Grey" xfId="4"/>
    <cellStyle name="Header1" xfId="5"/>
    <cellStyle name="Header2" xfId="6"/>
    <cellStyle name="Hyperlink 2" xfId="198"/>
    <cellStyle name="Input [yellow]" xfId="7"/>
    <cellStyle name="no dec" xfId="8"/>
    <cellStyle name="Normal" xfId="0" builtinId="0"/>
    <cellStyle name="Normal - Style1" xfId="9"/>
    <cellStyle name="Normal 10" xfId="66"/>
    <cellStyle name="Normal 10 10" xfId="440"/>
    <cellStyle name="Normal 10 2" xfId="199"/>
    <cellStyle name="Normal 10 3" xfId="321"/>
    <cellStyle name="Normal 10 4" xfId="363"/>
    <cellStyle name="Normal 10 5" xfId="381"/>
    <cellStyle name="Normal 10 6" xfId="397"/>
    <cellStyle name="Normal 10 7" xfId="413"/>
    <cellStyle name="Normal 10 8" xfId="427"/>
    <cellStyle name="Normal 10 9" xfId="82"/>
    <cellStyle name="Normal 11" xfId="68"/>
    <cellStyle name="Normal 11 10" xfId="441"/>
    <cellStyle name="Normal 11 2" xfId="200"/>
    <cellStyle name="Normal 11 3" xfId="322"/>
    <cellStyle name="Normal 11 4" xfId="356"/>
    <cellStyle name="Normal 11 5" xfId="374"/>
    <cellStyle name="Normal 11 6" xfId="392"/>
    <cellStyle name="Normal 11 7" xfId="408"/>
    <cellStyle name="Normal 11 8" xfId="424"/>
    <cellStyle name="Normal 11 9" xfId="83"/>
    <cellStyle name="Normal 12" xfId="69"/>
    <cellStyle name="Normal 12 10" xfId="442"/>
    <cellStyle name="Normal 12 2" xfId="201"/>
    <cellStyle name="Normal 12 3" xfId="323"/>
    <cellStyle name="Normal 12 4" xfId="284"/>
    <cellStyle name="Normal 12 5" xfId="328"/>
    <cellStyle name="Normal 12 6" xfId="279"/>
    <cellStyle name="Normal 12 7" xfId="332"/>
    <cellStyle name="Normal 12 8" xfId="275"/>
    <cellStyle name="Normal 12 9" xfId="84"/>
    <cellStyle name="Normal 13" xfId="202"/>
    <cellStyle name="Normal 14" xfId="203"/>
    <cellStyle name="Normal 14 2" xfId="67"/>
    <cellStyle name="Normal 14 2 2" xfId="85"/>
    <cellStyle name="Normal 14 2 3" xfId="443"/>
    <cellStyle name="Normal 14 2_F2.1" xfId="463"/>
    <cellStyle name="Normal 15" xfId="18"/>
    <cellStyle name="Normal 15 10" xfId="444"/>
    <cellStyle name="Normal 15 2" xfId="204"/>
    <cellStyle name="Normal 15 3" xfId="326"/>
    <cellStyle name="Normal 15 4" xfId="281"/>
    <cellStyle name="Normal 15 5" xfId="358"/>
    <cellStyle name="Normal 15 6" xfId="376"/>
    <cellStyle name="Normal 15 7" xfId="394"/>
    <cellStyle name="Normal 15 8" xfId="410"/>
    <cellStyle name="Normal 15 9" xfId="86"/>
    <cellStyle name="Normal 16" xfId="205"/>
    <cellStyle name="Normal 17" xfId="206"/>
    <cellStyle name="Normal 18" xfId="60"/>
    <cellStyle name="Normal 18 10" xfId="445"/>
    <cellStyle name="Normal 18 2" xfId="207"/>
    <cellStyle name="Normal 18 2 2" xfId="209"/>
    <cellStyle name="Normal 18 2 3" xfId="252"/>
    <cellStyle name="Normal 18 2 4" xfId="265"/>
    <cellStyle name="Normal 18 3" xfId="329"/>
    <cellStyle name="Normal 18 4" xfId="278"/>
    <cellStyle name="Normal 18 5" xfId="333"/>
    <cellStyle name="Normal 18 6" xfId="274"/>
    <cellStyle name="Normal 18 7" xfId="337"/>
    <cellStyle name="Normal 18 8" xfId="272"/>
    <cellStyle name="Normal 18 9" xfId="87"/>
    <cellStyle name="Normal 19" xfId="210"/>
    <cellStyle name="Normal 2" xfId="10"/>
    <cellStyle name="Normal 2 2" xfId="11"/>
    <cellStyle name="Normal 2 2 2" xfId="30"/>
    <cellStyle name="Normal 2 2 2 2" xfId="56"/>
    <cellStyle name="Normal 2 2_F2.1" xfId="464"/>
    <cellStyle name="Normal 2 3" xfId="12"/>
    <cellStyle name="Normal 2 3 2" xfId="213"/>
    <cellStyle name="Normal 2 3 3" xfId="335"/>
    <cellStyle name="Normal 2 3 4" xfId="273"/>
    <cellStyle name="Normal 2 3 5" xfId="338"/>
    <cellStyle name="Normal 2 3 6" xfId="271"/>
    <cellStyle name="Normal 2 3 7" xfId="339"/>
    <cellStyle name="Normal 2 3 8" xfId="270"/>
    <cellStyle name="Normal 2 4" xfId="51"/>
    <cellStyle name="Normal 2_ARR FINAL" xfId="31"/>
    <cellStyle name="Normal 20" xfId="214"/>
    <cellStyle name="Normal 21" xfId="215"/>
    <cellStyle name="Normal 22" xfId="216"/>
    <cellStyle name="Normal 23" xfId="217"/>
    <cellStyle name="Normal 24" xfId="218"/>
    <cellStyle name="Normal 25" xfId="219"/>
    <cellStyle name="Normal 26" xfId="220"/>
    <cellStyle name="Normal 27" xfId="221"/>
    <cellStyle name="Normal 28" xfId="222"/>
    <cellStyle name="Normal 29" xfId="223"/>
    <cellStyle name="Normal 3" xfId="13"/>
    <cellStyle name="Normal 3 10" xfId="269"/>
    <cellStyle name="Normal 3 11" xfId="342"/>
    <cellStyle name="Normal 3 12" xfId="134"/>
    <cellStyle name="Normal 3 13" xfId="360"/>
    <cellStyle name="Normal 3 14" xfId="378"/>
    <cellStyle name="Normal 3 2" xfId="32"/>
    <cellStyle name="Normal 3 2 2" xfId="57"/>
    <cellStyle name="Normal 3 2 3" xfId="225"/>
    <cellStyle name="Normal 3 2 4" xfId="341"/>
    <cellStyle name="Normal 3 2 5" xfId="268"/>
    <cellStyle name="Normal 3 2 6" xfId="343"/>
    <cellStyle name="Normal 3 2 7" xfId="142"/>
    <cellStyle name="Normal 3 2 8" xfId="362"/>
    <cellStyle name="Normal 3 2 9" xfId="380"/>
    <cellStyle name="Normal 3 3" xfId="224"/>
    <cellStyle name="Normal 3 4" xfId="226"/>
    <cellStyle name="Normal 3 5" xfId="227"/>
    <cellStyle name="Normal 3 6" xfId="228"/>
    <cellStyle name="Normal 3 7" xfId="229"/>
    <cellStyle name="Normal 3 8" xfId="230"/>
    <cellStyle name="Normal 3 9" xfId="340"/>
    <cellStyle name="Normal 30" xfId="231"/>
    <cellStyle name="Normal 31" xfId="246"/>
    <cellStyle name="Normal 32" xfId="253"/>
    <cellStyle name="Normal 33" xfId="255"/>
    <cellStyle name="Normal 34" xfId="257"/>
    <cellStyle name="Normal 35" xfId="259"/>
    <cellStyle name="Normal 36" xfId="267"/>
    <cellStyle name="Normal 37" xfId="434"/>
    <cellStyle name="Normal 38" xfId="450"/>
    <cellStyle name="Normal 39" xfId="22"/>
    <cellStyle name="Normal 4" xfId="33"/>
    <cellStyle name="Normal 4 10" xfId="166"/>
    <cellStyle name="Normal 4 11" xfId="368"/>
    <cellStyle name="Normal 4 12" xfId="386"/>
    <cellStyle name="Normal 4 13" xfId="402"/>
    <cellStyle name="Normal 4 14" xfId="417"/>
    <cellStyle name="Normal 4 2" xfId="58"/>
    <cellStyle name="Normal 4 2 2" xfId="233"/>
    <cellStyle name="Normal 4 2 3" xfId="345"/>
    <cellStyle name="Normal 4 2 4" xfId="194"/>
    <cellStyle name="Normal 4 2 5" xfId="346"/>
    <cellStyle name="Normal 4 2 6" xfId="211"/>
    <cellStyle name="Normal 4 2 7" xfId="349"/>
    <cellStyle name="Normal 4 2 8" xfId="212"/>
    <cellStyle name="Normal 4 3" xfId="232"/>
    <cellStyle name="Normal 4 4" xfId="234"/>
    <cellStyle name="Normal 4 5" xfId="235"/>
    <cellStyle name="Normal 4 6" xfId="236"/>
    <cellStyle name="Normal 4 7" xfId="237"/>
    <cellStyle name="Normal 4 8" xfId="238"/>
    <cellStyle name="Normal 4 9" xfId="344"/>
    <cellStyle name="Normal 40" xfId="452"/>
    <cellStyle name="Normal 41" xfId="454"/>
    <cellStyle name="Normal 42" xfId="456"/>
    <cellStyle name="Normal 5" xfId="34"/>
    <cellStyle name="Normal 5 10" xfId="88"/>
    <cellStyle name="Normal 5 11" xfId="446"/>
    <cellStyle name="Normal 5 2" xfId="35"/>
    <cellStyle name="Normal 5 3" xfId="239"/>
    <cellStyle name="Normal 5 4" xfId="350"/>
    <cellStyle name="Normal 5 5" xfId="369"/>
    <cellStyle name="Normal 5 6" xfId="387"/>
    <cellStyle name="Normal 5 7" xfId="403"/>
    <cellStyle name="Normal 5 8" xfId="418"/>
    <cellStyle name="Normal 5 9" xfId="429"/>
    <cellStyle name="Normal 6" xfId="36"/>
    <cellStyle name="Normal 6 2" xfId="240"/>
    <cellStyle name="Normal 6 3" xfId="351"/>
    <cellStyle name="Normal 6 4" xfId="370"/>
    <cellStyle name="Normal 6 5" xfId="388"/>
    <cellStyle name="Normal 6 6" xfId="404"/>
    <cellStyle name="Normal 6 7" xfId="419"/>
    <cellStyle name="Normal 6 8" xfId="430"/>
    <cellStyle name="Normal 7" xfId="37"/>
    <cellStyle name="Normal 7 10" xfId="447"/>
    <cellStyle name="Normal 7 2" xfId="241"/>
    <cellStyle name="Normal 7 2 2" xfId="243"/>
    <cellStyle name="Normal 7 3" xfId="352"/>
    <cellStyle name="Normal 7 4" xfId="371"/>
    <cellStyle name="Normal 7 5" xfId="389"/>
    <cellStyle name="Normal 7 6" xfId="405"/>
    <cellStyle name="Normal 7 7" xfId="420"/>
    <cellStyle name="Normal 7 8" xfId="431"/>
    <cellStyle name="Normal 7 9" xfId="89"/>
    <cellStyle name="Normal 8" xfId="52"/>
    <cellStyle name="Normal 8 2" xfId="244"/>
    <cellStyle name="Normal 8 3" xfId="354"/>
    <cellStyle name="Normal 8 4" xfId="372"/>
    <cellStyle name="Normal 8 5" xfId="390"/>
    <cellStyle name="Normal 8 6" xfId="406"/>
    <cellStyle name="Normal 8 7" xfId="422"/>
    <cellStyle name="Normal 8 8" xfId="432"/>
    <cellStyle name="Normal 9" xfId="53"/>
    <cellStyle name="Normal 9 2" xfId="245"/>
    <cellStyle name="Normal 9 3" xfId="355"/>
    <cellStyle name="Normal 9 4" xfId="373"/>
    <cellStyle name="Normal 9 5" xfId="391"/>
    <cellStyle name="Normal 9 6" xfId="407"/>
    <cellStyle name="Normal 9 7" xfId="423"/>
    <cellStyle name="Normal 9 8" xfId="433"/>
    <cellStyle name="Normal_F2.1" xfId="462"/>
    <cellStyle name="Normal_F2.2" xfId="465"/>
    <cellStyle name="Normal_F2.3" xfId="466"/>
    <cellStyle name="Normal_FORMATS 5 YEAR ALOKE 2" xfId="14"/>
    <cellStyle name="Percent [0]_#6 Temps &amp; Contractors" xfId="15"/>
    <cellStyle name="Percent [2]" xfId="16"/>
    <cellStyle name="Percent 2" xfId="38"/>
    <cellStyle name="Percent 2 2" xfId="39"/>
    <cellStyle name="Percent 2 3" xfId="59"/>
    <cellStyle name="Percent 3" xfId="40"/>
    <cellStyle name="Percent 3 2" xfId="41"/>
    <cellStyle name="Percent 4" xfId="23"/>
    <cellStyle name="Percent 41" xfId="20"/>
    <cellStyle name="Percent 41 2" xfId="90"/>
    <cellStyle name="Percent 41 3" xfId="448"/>
    <cellStyle name="Percent 5" xfId="42"/>
    <cellStyle name="Percent 5 2" xfId="43"/>
    <cellStyle name="Percent 5 3" xfId="44"/>
    <cellStyle name="Percent 6" xfId="45"/>
    <cellStyle name="Percent 6 2" xfId="46"/>
    <cellStyle name="Percent 7" xfId="65"/>
    <cellStyle name="Percent 7 2" xfId="91"/>
    <cellStyle name="Percent 7 3" xfId="449"/>
    <cellStyle name="Style 1" xfId="17"/>
    <cellStyle name="Style 2" xfId="54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zoomScale="80" zoomScaleNormal="80" zoomScaleSheetLayoutView="80" workbookViewId="0">
      <selection activeCell="I26" sqref="I26"/>
    </sheetView>
  </sheetViews>
  <sheetFormatPr defaultColWidth="9.28515625" defaultRowHeight="15" x14ac:dyDescent="0.2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 x14ac:dyDescent="0.2">
      <c r="B1" s="214" t="s">
        <v>302</v>
      </c>
      <c r="C1" s="214"/>
      <c r="D1" s="215"/>
      <c r="E1" s="215"/>
      <c r="F1" s="1"/>
      <c r="G1" s="1"/>
      <c r="H1" s="1"/>
    </row>
    <row r="2" spans="2:8" ht="15.75" x14ac:dyDescent="0.2">
      <c r="B2" s="214" t="s">
        <v>352</v>
      </c>
      <c r="C2" s="214"/>
      <c r="D2" s="215"/>
      <c r="E2" s="215"/>
      <c r="F2" s="1"/>
      <c r="G2" s="1"/>
      <c r="H2" s="1"/>
    </row>
    <row r="3" spans="2:8" s="10" customFormat="1" ht="15.75" x14ac:dyDescent="0.2">
      <c r="B3" s="216" t="s">
        <v>277</v>
      </c>
      <c r="C3" s="216"/>
      <c r="D3" s="217"/>
      <c r="E3" s="217"/>
      <c r="F3" s="1"/>
      <c r="G3" s="1"/>
      <c r="H3" s="1"/>
    </row>
    <row r="4" spans="2:8" ht="15.75" x14ac:dyDescent="0.2">
      <c r="D4" s="64" t="s">
        <v>279</v>
      </c>
    </row>
    <row r="5" spans="2:8" ht="15.75" x14ac:dyDescent="0.2">
      <c r="B5" s="11" t="s">
        <v>169</v>
      </c>
      <c r="C5" s="11" t="s">
        <v>278</v>
      </c>
      <c r="D5" s="12" t="s">
        <v>7</v>
      </c>
      <c r="E5" s="12" t="s">
        <v>280</v>
      </c>
    </row>
    <row r="6" spans="2:8" x14ac:dyDescent="0.2">
      <c r="B6" s="7">
        <v>1</v>
      </c>
      <c r="C6" s="7" t="s">
        <v>6</v>
      </c>
      <c r="D6" s="137" t="s">
        <v>282</v>
      </c>
      <c r="E6" s="8"/>
    </row>
    <row r="7" spans="2:8" x14ac:dyDescent="0.2">
      <c r="B7" s="7">
        <f>B6+1</f>
        <v>2</v>
      </c>
      <c r="C7" s="7" t="s">
        <v>237</v>
      </c>
      <c r="D7" s="137" t="s">
        <v>284</v>
      </c>
      <c r="E7" s="8"/>
    </row>
    <row r="8" spans="2:8" x14ac:dyDescent="0.2">
      <c r="B8" s="7">
        <f>B7+1</f>
        <v>3</v>
      </c>
      <c r="C8" s="7" t="s">
        <v>24</v>
      </c>
      <c r="D8" s="137" t="s">
        <v>285</v>
      </c>
      <c r="E8" s="8"/>
    </row>
    <row r="9" spans="2:8" x14ac:dyDescent="0.2">
      <c r="B9" s="7">
        <f>B8+1</f>
        <v>4</v>
      </c>
      <c r="C9" s="7" t="s">
        <v>25</v>
      </c>
      <c r="D9" s="137" t="s">
        <v>286</v>
      </c>
      <c r="E9" s="8"/>
    </row>
    <row r="10" spans="2:8" x14ac:dyDescent="0.2">
      <c r="B10" s="7">
        <f>B9+1</f>
        <v>5</v>
      </c>
      <c r="C10" s="7" t="s">
        <v>238</v>
      </c>
      <c r="D10" s="137" t="s">
        <v>287</v>
      </c>
      <c r="E10" s="8"/>
    </row>
    <row r="11" spans="2:8" ht="30" x14ac:dyDescent="0.2">
      <c r="B11" s="7">
        <f t="shared" ref="B11:B26" si="0">B10+1</f>
        <v>6</v>
      </c>
      <c r="C11" s="7" t="s">
        <v>22</v>
      </c>
      <c r="D11" s="137" t="s">
        <v>192</v>
      </c>
      <c r="E11" s="8"/>
    </row>
    <row r="12" spans="2:8" ht="30" x14ac:dyDescent="0.2">
      <c r="B12" s="7">
        <f t="shared" si="0"/>
        <v>7</v>
      </c>
      <c r="C12" s="7" t="s">
        <v>27</v>
      </c>
      <c r="D12" s="137" t="s">
        <v>288</v>
      </c>
      <c r="E12" s="8"/>
    </row>
    <row r="13" spans="2:8" x14ac:dyDescent="0.2">
      <c r="B13" s="7">
        <f t="shared" si="0"/>
        <v>8</v>
      </c>
      <c r="C13" s="7" t="s">
        <v>28</v>
      </c>
      <c r="D13" s="9" t="s">
        <v>166</v>
      </c>
      <c r="E13" s="8"/>
    </row>
    <row r="14" spans="2:8" x14ac:dyDescent="0.2">
      <c r="B14" s="7">
        <f t="shared" si="0"/>
        <v>9</v>
      </c>
      <c r="C14" s="7" t="s">
        <v>23</v>
      </c>
      <c r="D14" s="9" t="s">
        <v>289</v>
      </c>
      <c r="E14" s="8"/>
    </row>
    <row r="15" spans="2:8" x14ac:dyDescent="0.2">
      <c r="B15" s="7">
        <f t="shared" si="0"/>
        <v>10</v>
      </c>
      <c r="C15" s="7" t="s">
        <v>29</v>
      </c>
      <c r="D15" s="137" t="s">
        <v>204</v>
      </c>
      <c r="E15" s="8"/>
    </row>
    <row r="16" spans="2:8" x14ac:dyDescent="0.2">
      <c r="B16" s="7">
        <f t="shared" si="0"/>
        <v>11</v>
      </c>
      <c r="C16" s="7" t="s">
        <v>30</v>
      </c>
      <c r="D16" s="9" t="s">
        <v>259</v>
      </c>
      <c r="E16" s="8"/>
    </row>
    <row r="17" spans="2:5" x14ac:dyDescent="0.2">
      <c r="B17" s="7">
        <f t="shared" si="0"/>
        <v>12</v>
      </c>
      <c r="C17" s="7" t="s">
        <v>31</v>
      </c>
      <c r="D17" s="9" t="s">
        <v>205</v>
      </c>
      <c r="E17" s="8"/>
    </row>
    <row r="18" spans="2:5" x14ac:dyDescent="0.2">
      <c r="B18" s="7">
        <f t="shared" si="0"/>
        <v>13</v>
      </c>
      <c r="C18" s="7" t="s">
        <v>32</v>
      </c>
      <c r="D18" s="9" t="s">
        <v>144</v>
      </c>
      <c r="E18" s="8"/>
    </row>
    <row r="19" spans="2:5" x14ac:dyDescent="0.2">
      <c r="B19" s="7">
        <f t="shared" si="0"/>
        <v>14</v>
      </c>
      <c r="C19" s="7" t="s">
        <v>33</v>
      </c>
      <c r="D19" s="9" t="s">
        <v>26</v>
      </c>
      <c r="E19" s="8"/>
    </row>
    <row r="20" spans="2:5" x14ac:dyDescent="0.2">
      <c r="B20" s="7">
        <f t="shared" si="0"/>
        <v>15</v>
      </c>
      <c r="C20" s="7" t="s">
        <v>34</v>
      </c>
      <c r="D20" s="137" t="s">
        <v>290</v>
      </c>
      <c r="E20" s="8"/>
    </row>
    <row r="21" spans="2:5" ht="30" x14ac:dyDescent="0.2">
      <c r="B21" s="7">
        <f t="shared" si="0"/>
        <v>16</v>
      </c>
      <c r="C21" s="7" t="s">
        <v>35</v>
      </c>
      <c r="D21" s="137" t="s">
        <v>291</v>
      </c>
      <c r="E21" s="8"/>
    </row>
    <row r="22" spans="2:5" x14ac:dyDescent="0.2">
      <c r="B22" s="7">
        <f t="shared" si="0"/>
        <v>17</v>
      </c>
      <c r="C22" s="7" t="s">
        <v>145</v>
      </c>
      <c r="D22" s="137" t="s">
        <v>208</v>
      </c>
      <c r="E22" s="8"/>
    </row>
    <row r="23" spans="2:5" x14ac:dyDescent="0.2">
      <c r="B23" s="7">
        <f t="shared" si="0"/>
        <v>18</v>
      </c>
      <c r="C23" s="7" t="s">
        <v>150</v>
      </c>
      <c r="D23" s="137" t="s">
        <v>292</v>
      </c>
      <c r="E23" s="8"/>
    </row>
    <row r="24" spans="2:5" x14ac:dyDescent="0.2">
      <c r="B24" s="7">
        <f t="shared" si="0"/>
        <v>19</v>
      </c>
      <c r="C24" s="7" t="s">
        <v>281</v>
      </c>
      <c r="D24" s="137" t="s">
        <v>199</v>
      </c>
      <c r="E24" s="8"/>
    </row>
    <row r="25" spans="2:5" x14ac:dyDescent="0.2">
      <c r="B25" s="7">
        <f t="shared" si="0"/>
        <v>20</v>
      </c>
      <c r="C25" s="7" t="s">
        <v>193</v>
      </c>
      <c r="D25" s="137" t="s">
        <v>293</v>
      </c>
      <c r="E25" s="8"/>
    </row>
    <row r="26" spans="2:5" x14ac:dyDescent="0.2">
      <c r="B26" s="7">
        <f t="shared" si="0"/>
        <v>21</v>
      </c>
      <c r="C26" s="7" t="s">
        <v>194</v>
      </c>
      <c r="D26" s="9" t="s">
        <v>294</v>
      </c>
      <c r="E26" s="8"/>
    </row>
  </sheetData>
  <mergeCells count="3">
    <mergeCell ref="B1:E1"/>
    <mergeCell ref="B3:E3"/>
    <mergeCell ref="B2:E2"/>
  </mergeCells>
  <phoneticPr fontId="13" type="noConversion"/>
  <pageMargins left="1.55" right="0.23622047244094499" top="0.60236220500000004" bottom="0.734251969" header="0.23622047244094499" footer="0.23622047244094499"/>
  <pageSetup paperSize="9" scale="11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topLeftCell="A40" zoomScale="93" zoomScaleNormal="93" zoomScaleSheetLayoutView="90" workbookViewId="0">
      <selection activeCell="Q28" sqref="Q28"/>
    </sheetView>
  </sheetViews>
  <sheetFormatPr defaultColWidth="9.28515625" defaultRowHeight="14.25" x14ac:dyDescent="0.2"/>
  <cols>
    <col min="1" max="1" width="4.28515625" style="5" customWidth="1"/>
    <col min="2" max="2" width="5.140625" style="5" customWidth="1"/>
    <col min="3" max="3" width="23.140625" style="5" customWidth="1"/>
    <col min="4" max="4" width="8.140625" style="5" customWidth="1"/>
    <col min="5" max="5" width="9.85546875" style="5" customWidth="1"/>
    <col min="6" max="6" width="12.42578125" style="5" customWidth="1"/>
    <col min="7" max="7" width="9.5703125" style="5" customWidth="1"/>
    <col min="8" max="8" width="12.28515625" style="5" customWidth="1"/>
    <col min="9" max="9" width="12.140625" style="5" customWidth="1"/>
    <col min="10" max="10" width="14.140625" style="5" customWidth="1"/>
    <col min="11" max="11" width="9.5703125" style="5" customWidth="1"/>
    <col min="12" max="12" width="9.42578125" style="5" customWidth="1"/>
    <col min="13" max="13" width="12.85546875" style="5" customWidth="1"/>
    <col min="14" max="14" width="12.57031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6" customHeight="1" x14ac:dyDescent="0.2">
      <c r="B1" s="24"/>
    </row>
    <row r="2" spans="2:16" ht="15" x14ac:dyDescent="0.2">
      <c r="H2" s="32" t="s">
        <v>303</v>
      </c>
      <c r="I2" s="33"/>
    </row>
    <row r="3" spans="2:16" ht="15" x14ac:dyDescent="0.2">
      <c r="H3" s="32" t="str">
        <f>'F1'!$F$3</f>
        <v>Nagarjuna Sagar HES</v>
      </c>
      <c r="I3" s="33"/>
    </row>
    <row r="4" spans="2:16" ht="15" x14ac:dyDescent="0.2">
      <c r="H4" s="35" t="s">
        <v>243</v>
      </c>
      <c r="I4" s="35"/>
    </row>
    <row r="5" spans="2:16" ht="10.5" customHeight="1" x14ac:dyDescent="0.2">
      <c r="K5" s="35"/>
      <c r="O5" s="32" t="s">
        <v>4</v>
      </c>
    </row>
    <row r="6" spans="2:16" ht="7.5" customHeight="1" x14ac:dyDescent="0.2"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</row>
    <row r="7" spans="2:16" ht="15" x14ac:dyDescent="0.2">
      <c r="B7" s="240" t="s">
        <v>304</v>
      </c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</row>
    <row r="8" spans="2:16" ht="14.25" customHeight="1" x14ac:dyDescent="0.2">
      <c r="B8" s="239" t="s">
        <v>2</v>
      </c>
      <c r="C8" s="241" t="s">
        <v>236</v>
      </c>
      <c r="D8" s="239" t="s">
        <v>225</v>
      </c>
      <c r="E8" s="239" t="s">
        <v>226</v>
      </c>
      <c r="F8" s="239" t="s">
        <v>227</v>
      </c>
      <c r="G8" s="239"/>
      <c r="H8" s="239"/>
      <c r="I8" s="239"/>
      <c r="J8" s="239" t="s">
        <v>228</v>
      </c>
      <c r="K8" s="239"/>
      <c r="L8" s="239"/>
      <c r="M8" s="239"/>
      <c r="N8" s="239" t="s">
        <v>229</v>
      </c>
      <c r="O8" s="239"/>
    </row>
    <row r="9" spans="2:16" ht="60" x14ac:dyDescent="0.2">
      <c r="B9" s="239"/>
      <c r="C9" s="241"/>
      <c r="D9" s="239"/>
      <c r="E9" s="239"/>
      <c r="F9" s="173" t="s">
        <v>230</v>
      </c>
      <c r="G9" s="173" t="s">
        <v>126</v>
      </c>
      <c r="H9" s="173" t="s">
        <v>231</v>
      </c>
      <c r="I9" s="173" t="s">
        <v>232</v>
      </c>
      <c r="J9" s="173" t="s">
        <v>233</v>
      </c>
      <c r="K9" s="173" t="s">
        <v>126</v>
      </c>
      <c r="L9" s="173" t="s">
        <v>234</v>
      </c>
      <c r="M9" s="173" t="s">
        <v>235</v>
      </c>
      <c r="N9" s="173" t="s">
        <v>230</v>
      </c>
      <c r="O9" s="173" t="s">
        <v>232</v>
      </c>
    </row>
    <row r="10" spans="2:16" x14ac:dyDescent="0.2">
      <c r="B10" s="174">
        <v>1</v>
      </c>
      <c r="C10" s="175" t="s">
        <v>336</v>
      </c>
      <c r="D10" s="175">
        <v>100010</v>
      </c>
      <c r="E10" s="172"/>
      <c r="F10" s="156">
        <v>1.66503E-2</v>
      </c>
      <c r="G10" s="156">
        <v>0</v>
      </c>
      <c r="H10" s="176"/>
      <c r="I10" s="177">
        <f t="shared" ref="I10:I20" si="0">F10+G10+H10</f>
        <v>1.66503E-2</v>
      </c>
      <c r="J10" s="156">
        <v>0</v>
      </c>
      <c r="K10" s="187">
        <v>0</v>
      </c>
      <c r="L10" s="176"/>
      <c r="M10" s="177">
        <f t="shared" ref="M10:M20" si="1">J10+K10+L10</f>
        <v>0</v>
      </c>
      <c r="N10" s="176">
        <f t="shared" ref="N10:N20" si="2">+F10-J10</f>
        <v>1.66503E-2</v>
      </c>
      <c r="O10" s="176">
        <f t="shared" ref="O10:O20" si="3">+I10-M10</f>
        <v>1.66503E-2</v>
      </c>
    </row>
    <row r="11" spans="2:16" x14ac:dyDescent="0.2">
      <c r="B11" s="174">
        <v>2</v>
      </c>
      <c r="C11" s="175" t="s">
        <v>337</v>
      </c>
      <c r="D11" s="175">
        <v>100110</v>
      </c>
      <c r="E11" s="172"/>
      <c r="F11" s="156">
        <v>49.452357536999997</v>
      </c>
      <c r="G11" s="156">
        <v>0</v>
      </c>
      <c r="H11" s="176"/>
      <c r="I11" s="177">
        <f t="shared" si="0"/>
        <v>49.452357536999997</v>
      </c>
      <c r="J11" s="156">
        <v>42.167606335000002</v>
      </c>
      <c r="K11" s="187">
        <v>0.52345634000000008</v>
      </c>
      <c r="L11" s="176"/>
      <c r="M11" s="177">
        <f t="shared" si="1"/>
        <v>42.691062675000005</v>
      </c>
      <c r="N11" s="176">
        <f t="shared" si="2"/>
        <v>7.2847512019999954</v>
      </c>
      <c r="O11" s="176">
        <f t="shared" si="3"/>
        <v>6.7612948619999926</v>
      </c>
    </row>
    <row r="12" spans="2:16" x14ac:dyDescent="0.2">
      <c r="B12" s="174">
        <v>3</v>
      </c>
      <c r="C12" s="175" t="s">
        <v>338</v>
      </c>
      <c r="D12" s="175">
        <v>100210</v>
      </c>
      <c r="E12" s="172"/>
      <c r="F12" s="156">
        <v>986.13893573300015</v>
      </c>
      <c r="G12" s="156">
        <v>1.9833049670000003</v>
      </c>
      <c r="H12" s="176"/>
      <c r="I12" s="177">
        <f>F12+G12+H12</f>
        <v>988.12224070000013</v>
      </c>
      <c r="J12" s="156">
        <v>794.70610712799987</v>
      </c>
      <c r="K12" s="187">
        <v>33.688956634999997</v>
      </c>
      <c r="L12" s="176"/>
      <c r="M12" s="177">
        <f t="shared" si="1"/>
        <v>828.39506376299983</v>
      </c>
      <c r="N12" s="176">
        <f t="shared" si="2"/>
        <v>191.43282860500028</v>
      </c>
      <c r="O12" s="176">
        <f t="shared" si="3"/>
        <v>159.72717693700031</v>
      </c>
      <c r="P12" s="138"/>
    </row>
    <row r="13" spans="2:16" x14ac:dyDescent="0.2">
      <c r="B13" s="174">
        <v>4</v>
      </c>
      <c r="C13" s="175" t="s">
        <v>339</v>
      </c>
      <c r="D13" s="175">
        <v>100310</v>
      </c>
      <c r="E13" s="172"/>
      <c r="F13" s="156">
        <v>874.738613977</v>
      </c>
      <c r="G13" s="156">
        <v>0</v>
      </c>
      <c r="H13" s="176"/>
      <c r="I13" s="177">
        <f t="shared" si="0"/>
        <v>874.738613977</v>
      </c>
      <c r="J13" s="156">
        <v>413.68296373300001</v>
      </c>
      <c r="K13" s="187">
        <v>23.797610703</v>
      </c>
      <c r="L13" s="176"/>
      <c r="M13" s="177">
        <f t="shared" si="1"/>
        <v>437.48057443599998</v>
      </c>
      <c r="N13" s="176">
        <f t="shared" si="2"/>
        <v>461.05565024399999</v>
      </c>
      <c r="O13" s="176">
        <f t="shared" si="3"/>
        <v>437.25803954100002</v>
      </c>
    </row>
    <row r="14" spans="2:16" x14ac:dyDescent="0.2">
      <c r="B14" s="174">
        <v>5</v>
      </c>
      <c r="C14" s="175" t="s">
        <v>340</v>
      </c>
      <c r="D14" s="175">
        <v>100410</v>
      </c>
      <c r="E14" s="172"/>
      <c r="F14" s="156">
        <v>8.8920160920000004</v>
      </c>
      <c r="G14" s="156">
        <v>7.4367786000000005E-2</v>
      </c>
      <c r="H14" s="176"/>
      <c r="I14" s="177">
        <f t="shared" si="0"/>
        <v>8.9663838780000003</v>
      </c>
      <c r="J14" s="156">
        <v>7.7320186709999996</v>
      </c>
      <c r="K14" s="187">
        <v>0.23569615399999999</v>
      </c>
      <c r="L14" s="176"/>
      <c r="M14" s="177">
        <f t="shared" si="1"/>
        <v>7.9677148249999998</v>
      </c>
      <c r="N14" s="176">
        <f t="shared" si="2"/>
        <v>1.1599974210000008</v>
      </c>
      <c r="O14" s="176">
        <f t="shared" si="3"/>
        <v>0.99866905300000042</v>
      </c>
    </row>
    <row r="15" spans="2:16" x14ac:dyDescent="0.2">
      <c r="B15" s="174">
        <v>6</v>
      </c>
      <c r="C15" s="175" t="s">
        <v>341</v>
      </c>
      <c r="D15" s="175">
        <v>100510</v>
      </c>
      <c r="E15" s="172"/>
      <c r="F15" s="156">
        <v>0.93421980500000013</v>
      </c>
      <c r="G15" s="156">
        <v>2.6335240000000003E-2</v>
      </c>
      <c r="H15" s="176"/>
      <c r="I15" s="177">
        <f t="shared" si="0"/>
        <v>0.96055504500000011</v>
      </c>
      <c r="J15" s="156">
        <v>0.607229519</v>
      </c>
      <c r="K15" s="187">
        <v>7.5463526000000003E-2</v>
      </c>
      <c r="L15" s="176"/>
      <c r="M15" s="177">
        <f t="shared" si="1"/>
        <v>0.68269304499999994</v>
      </c>
      <c r="N15" s="176">
        <f t="shared" si="2"/>
        <v>0.32699028600000013</v>
      </c>
      <c r="O15" s="176">
        <f t="shared" si="3"/>
        <v>0.27786200000000016</v>
      </c>
    </row>
    <row r="16" spans="2:16" x14ac:dyDescent="0.2">
      <c r="B16" s="174">
        <v>7</v>
      </c>
      <c r="C16" s="175" t="s">
        <v>342</v>
      </c>
      <c r="D16" s="175">
        <v>100610</v>
      </c>
      <c r="E16" s="172"/>
      <c r="F16" s="156">
        <v>0.55209986900000008</v>
      </c>
      <c r="G16" s="156">
        <v>0.22250867200000002</v>
      </c>
      <c r="H16" s="176"/>
      <c r="I16" s="177">
        <f t="shared" si="0"/>
        <v>0.77460854100000009</v>
      </c>
      <c r="J16" s="156">
        <v>0.18914673799999998</v>
      </c>
      <c r="K16" s="187">
        <v>0.165272326</v>
      </c>
      <c r="L16" s="176"/>
      <c r="M16" s="177">
        <f t="shared" si="1"/>
        <v>0.35441906400000001</v>
      </c>
      <c r="N16" s="176">
        <f t="shared" si="2"/>
        <v>0.3629531310000001</v>
      </c>
      <c r="O16" s="176">
        <f t="shared" si="3"/>
        <v>0.42018947700000009</v>
      </c>
    </row>
    <row r="17" spans="2:16" x14ac:dyDescent="0.2">
      <c r="B17" s="174">
        <v>8</v>
      </c>
      <c r="C17" s="175" t="s">
        <v>308</v>
      </c>
      <c r="D17" s="175">
        <v>100710</v>
      </c>
      <c r="E17" s="172"/>
      <c r="F17" s="156">
        <v>1.066588616</v>
      </c>
      <c r="G17" s="156">
        <v>3.6512504000000001E-2</v>
      </c>
      <c r="H17" s="176"/>
      <c r="I17" s="177">
        <f t="shared" si="0"/>
        <v>1.10310112</v>
      </c>
      <c r="J17" s="156">
        <v>0.77191098600000008</v>
      </c>
      <c r="K17" s="187">
        <v>0.15392484300000001</v>
      </c>
      <c r="L17" s="176"/>
      <c r="M17" s="177">
        <f t="shared" si="1"/>
        <v>0.92583582900000005</v>
      </c>
      <c r="N17" s="176">
        <f t="shared" si="2"/>
        <v>0.29467762999999991</v>
      </c>
      <c r="O17" s="176">
        <f t="shared" si="3"/>
        <v>0.17726529099999999</v>
      </c>
    </row>
    <row r="18" spans="2:16" x14ac:dyDescent="0.2">
      <c r="B18" s="174">
        <v>9</v>
      </c>
      <c r="C18" s="175" t="s">
        <v>343</v>
      </c>
      <c r="D18" s="175">
        <v>100900</v>
      </c>
      <c r="E18" s="172"/>
      <c r="F18" s="156">
        <v>0</v>
      </c>
      <c r="G18" s="156">
        <v>0</v>
      </c>
      <c r="H18" s="176"/>
      <c r="I18" s="177">
        <f t="shared" si="0"/>
        <v>0</v>
      </c>
      <c r="J18" s="156">
        <v>0</v>
      </c>
      <c r="K18" s="187">
        <v>0</v>
      </c>
      <c r="L18" s="176"/>
      <c r="M18" s="177">
        <f t="shared" si="1"/>
        <v>0</v>
      </c>
      <c r="N18" s="176">
        <f t="shared" si="2"/>
        <v>0</v>
      </c>
      <c r="O18" s="176">
        <f t="shared" si="3"/>
        <v>0</v>
      </c>
    </row>
    <row r="19" spans="2:16" x14ac:dyDescent="0.2">
      <c r="B19" s="174">
        <v>10</v>
      </c>
      <c r="C19" s="175" t="s">
        <v>344</v>
      </c>
      <c r="D19" s="175">
        <v>100910</v>
      </c>
      <c r="E19" s="172"/>
      <c r="F19" s="156">
        <v>0.664398673</v>
      </c>
      <c r="G19" s="156">
        <v>0</v>
      </c>
      <c r="H19" s="176"/>
      <c r="I19" s="177">
        <f t="shared" si="0"/>
        <v>0.664398673</v>
      </c>
      <c r="J19" s="156">
        <v>0.33071075999999999</v>
      </c>
      <c r="K19" s="187">
        <v>6.673758199999999E-2</v>
      </c>
      <c r="L19" s="176"/>
      <c r="M19" s="177">
        <f t="shared" si="1"/>
        <v>0.39744834200000001</v>
      </c>
      <c r="N19" s="176">
        <f t="shared" si="2"/>
        <v>0.333687913</v>
      </c>
      <c r="O19" s="176">
        <f t="shared" si="3"/>
        <v>0.26695033099999999</v>
      </c>
    </row>
    <row r="20" spans="2:16" x14ac:dyDescent="0.2">
      <c r="B20" s="174">
        <v>11</v>
      </c>
      <c r="C20" s="175" t="s">
        <v>309</v>
      </c>
      <c r="D20" s="175">
        <v>100960</v>
      </c>
      <c r="E20" s="172"/>
      <c r="F20" s="156">
        <v>1.0041193980000001</v>
      </c>
      <c r="G20" s="156">
        <v>2.9951999999999999E-2</v>
      </c>
      <c r="H20" s="176"/>
      <c r="I20" s="177">
        <f t="shared" si="0"/>
        <v>1.034071398</v>
      </c>
      <c r="J20" s="156">
        <v>0.61230613</v>
      </c>
      <c r="K20" s="187">
        <v>0.21288189100000002</v>
      </c>
      <c r="L20" s="176"/>
      <c r="M20" s="177">
        <f t="shared" si="1"/>
        <v>0.82518802099999999</v>
      </c>
      <c r="N20" s="176">
        <f t="shared" si="2"/>
        <v>0.39181326800000005</v>
      </c>
      <c r="O20" s="176">
        <f t="shared" si="3"/>
        <v>0.20888337700000004</v>
      </c>
      <c r="P20" s="136"/>
    </row>
    <row r="21" spans="2:16" s="48" customFormat="1" ht="15" x14ac:dyDescent="0.2">
      <c r="B21" s="179"/>
      <c r="C21" s="180" t="s">
        <v>127</v>
      </c>
      <c r="D21" s="180"/>
      <c r="E21" s="181">
        <f>IFERROR((K21-L21)/AVERAGE(F21,I21),0)</f>
        <v>3.0613437802815585E-2</v>
      </c>
      <c r="F21" s="178">
        <f>ROUND(SUM(F10:F20),2)</f>
        <v>1923.46</v>
      </c>
      <c r="G21" s="178">
        <f t="shared" ref="G21:O21" si="4">ROUND(SUM(G10:G20),2)</f>
        <v>2.37</v>
      </c>
      <c r="H21" s="178">
        <f t="shared" si="4"/>
        <v>0</v>
      </c>
      <c r="I21" s="178">
        <f t="shared" si="4"/>
        <v>1925.83</v>
      </c>
      <c r="J21" s="178">
        <f t="shared" si="4"/>
        <v>1260.8</v>
      </c>
      <c r="K21" s="178">
        <f t="shared" si="4"/>
        <v>58.92</v>
      </c>
      <c r="L21" s="178">
        <f t="shared" si="4"/>
        <v>0</v>
      </c>
      <c r="M21" s="178">
        <f t="shared" si="4"/>
        <v>1319.72</v>
      </c>
      <c r="N21" s="178">
        <f t="shared" si="4"/>
        <v>662.66</v>
      </c>
      <c r="O21" s="178">
        <f t="shared" si="4"/>
        <v>606.11</v>
      </c>
    </row>
    <row r="22" spans="2:16" x14ac:dyDescent="0.2"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</row>
    <row r="23" spans="2:16" ht="15" x14ac:dyDescent="0.2">
      <c r="B23" s="240" t="s">
        <v>305</v>
      </c>
      <c r="C23" s="240"/>
      <c r="D23" s="240"/>
      <c r="E23" s="240"/>
      <c r="F23" s="240"/>
      <c r="G23" s="240"/>
      <c r="H23" s="240"/>
      <c r="I23" s="240"/>
      <c r="J23" s="240"/>
      <c r="K23" s="240"/>
      <c r="L23" s="240"/>
      <c r="M23" s="240"/>
      <c r="N23" s="240"/>
      <c r="O23" s="240"/>
    </row>
    <row r="24" spans="2:16" ht="15" x14ac:dyDescent="0.2">
      <c r="B24" s="239" t="s">
        <v>2</v>
      </c>
      <c r="C24" s="241" t="s">
        <v>236</v>
      </c>
      <c r="D24" s="239" t="s">
        <v>225</v>
      </c>
      <c r="E24" s="239" t="s">
        <v>226</v>
      </c>
      <c r="F24" s="239" t="s">
        <v>227</v>
      </c>
      <c r="G24" s="239"/>
      <c r="H24" s="239"/>
      <c r="I24" s="239"/>
      <c r="J24" s="239" t="s">
        <v>228</v>
      </c>
      <c r="K24" s="239"/>
      <c r="L24" s="239"/>
      <c r="M24" s="239"/>
      <c r="N24" s="239" t="s">
        <v>229</v>
      </c>
      <c r="O24" s="239"/>
    </row>
    <row r="25" spans="2:16" ht="60" x14ac:dyDescent="0.2">
      <c r="B25" s="239"/>
      <c r="C25" s="241"/>
      <c r="D25" s="239"/>
      <c r="E25" s="239"/>
      <c r="F25" s="173" t="s">
        <v>230</v>
      </c>
      <c r="G25" s="173" t="s">
        <v>126</v>
      </c>
      <c r="H25" s="173" t="s">
        <v>231</v>
      </c>
      <c r="I25" s="173" t="s">
        <v>232</v>
      </c>
      <c r="J25" s="173" t="s">
        <v>233</v>
      </c>
      <c r="K25" s="173" t="s">
        <v>126</v>
      </c>
      <c r="L25" s="173" t="s">
        <v>234</v>
      </c>
      <c r="M25" s="173" t="s">
        <v>235</v>
      </c>
      <c r="N25" s="173" t="s">
        <v>230</v>
      </c>
      <c r="O25" s="173" t="s">
        <v>232</v>
      </c>
    </row>
    <row r="26" spans="2:16" x14ac:dyDescent="0.2">
      <c r="B26" s="174">
        <v>1</v>
      </c>
      <c r="C26" s="175" t="s">
        <v>336</v>
      </c>
      <c r="D26" s="175">
        <v>100010</v>
      </c>
      <c r="E26" s="172"/>
      <c r="F26" s="176">
        <f t="shared" ref="F26:F36" si="5">I10</f>
        <v>1.66503E-2</v>
      </c>
      <c r="G26" s="176"/>
      <c r="H26" s="176"/>
      <c r="I26" s="177">
        <f t="shared" ref="I26:I36" si="6">F26+G26+H26</f>
        <v>1.66503E-2</v>
      </c>
      <c r="J26" s="176">
        <f t="shared" ref="J26:J36" si="7">M10</f>
        <v>0</v>
      </c>
      <c r="K26" s="156">
        <v>0</v>
      </c>
      <c r="L26" s="176"/>
      <c r="M26" s="177">
        <f t="shared" ref="M26:M36" si="8">J26+K26+L26</f>
        <v>0</v>
      </c>
      <c r="N26" s="176">
        <f t="shared" ref="N26:N36" si="9">+F26-J26</f>
        <v>1.66503E-2</v>
      </c>
      <c r="O26" s="176">
        <f t="shared" ref="O26:O36" si="10">+I26-M26</f>
        <v>1.66503E-2</v>
      </c>
    </row>
    <row r="27" spans="2:16" x14ac:dyDescent="0.2">
      <c r="B27" s="174">
        <v>2</v>
      </c>
      <c r="C27" s="175" t="s">
        <v>337</v>
      </c>
      <c r="D27" s="175">
        <v>100110</v>
      </c>
      <c r="E27" s="172"/>
      <c r="F27" s="176">
        <f t="shared" si="5"/>
        <v>49.452357536999997</v>
      </c>
      <c r="G27" s="176"/>
      <c r="H27" s="176"/>
      <c r="I27" s="177">
        <f t="shared" si="6"/>
        <v>49.452357536999997</v>
      </c>
      <c r="J27" s="176">
        <f t="shared" si="7"/>
        <v>42.691062675000005</v>
      </c>
      <c r="K27" s="156">
        <v>0.52345634000000008</v>
      </c>
      <c r="L27" s="176"/>
      <c r="M27" s="177">
        <f t="shared" si="8"/>
        <v>43.214519015000008</v>
      </c>
      <c r="N27" s="176">
        <f t="shared" si="9"/>
        <v>6.7612948619999926</v>
      </c>
      <c r="O27" s="176">
        <f t="shared" si="10"/>
        <v>6.2378385219999899</v>
      </c>
    </row>
    <row r="28" spans="2:16" x14ac:dyDescent="0.2">
      <c r="B28" s="174">
        <v>3</v>
      </c>
      <c r="C28" s="175" t="s">
        <v>338</v>
      </c>
      <c r="D28" s="175">
        <v>100210</v>
      </c>
      <c r="E28" s="172"/>
      <c r="F28" s="176">
        <f t="shared" si="5"/>
        <v>988.12224070000013</v>
      </c>
      <c r="G28" s="176"/>
      <c r="H28" s="176"/>
      <c r="I28" s="177">
        <f t="shared" si="6"/>
        <v>988.12224070000013</v>
      </c>
      <c r="J28" s="176">
        <f t="shared" si="7"/>
        <v>828.39506376299983</v>
      </c>
      <c r="K28" s="156">
        <v>34.058956634999994</v>
      </c>
      <c r="L28" s="176"/>
      <c r="M28" s="177">
        <f t="shared" si="8"/>
        <v>862.45402039799978</v>
      </c>
      <c r="N28" s="176">
        <f t="shared" si="9"/>
        <v>159.72717693700031</v>
      </c>
      <c r="O28" s="176">
        <f t="shared" si="10"/>
        <v>125.66822030200035</v>
      </c>
    </row>
    <row r="29" spans="2:16" x14ac:dyDescent="0.2">
      <c r="B29" s="174">
        <v>4</v>
      </c>
      <c r="C29" s="175" t="s">
        <v>339</v>
      </c>
      <c r="D29" s="175">
        <v>100310</v>
      </c>
      <c r="E29" s="172"/>
      <c r="F29" s="176">
        <f t="shared" si="5"/>
        <v>874.738613977</v>
      </c>
      <c r="G29" s="176"/>
      <c r="H29" s="176"/>
      <c r="I29" s="177">
        <f t="shared" si="6"/>
        <v>874.738613977</v>
      </c>
      <c r="J29" s="176">
        <f t="shared" si="7"/>
        <v>437.48057443599998</v>
      </c>
      <c r="K29" s="156">
        <v>23.797610703</v>
      </c>
      <c r="L29" s="176"/>
      <c r="M29" s="177">
        <f t="shared" si="8"/>
        <v>461.27818513899996</v>
      </c>
      <c r="N29" s="176">
        <f t="shared" si="9"/>
        <v>437.25803954100002</v>
      </c>
      <c r="O29" s="176">
        <f t="shared" si="10"/>
        <v>413.46042883800004</v>
      </c>
    </row>
    <row r="30" spans="2:16" x14ac:dyDescent="0.2">
      <c r="B30" s="174">
        <v>5</v>
      </c>
      <c r="C30" s="175" t="s">
        <v>340</v>
      </c>
      <c r="D30" s="175">
        <v>100410</v>
      </c>
      <c r="E30" s="172"/>
      <c r="F30" s="176">
        <f t="shared" si="5"/>
        <v>8.9663838780000003</v>
      </c>
      <c r="G30" s="176"/>
      <c r="H30" s="176"/>
      <c r="I30" s="177">
        <f t="shared" si="6"/>
        <v>8.9663838780000003</v>
      </c>
      <c r="J30" s="176">
        <f t="shared" si="7"/>
        <v>7.9677148249999998</v>
      </c>
      <c r="K30" s="156">
        <v>0.23569615399999999</v>
      </c>
      <c r="L30" s="176"/>
      <c r="M30" s="177">
        <f t="shared" si="8"/>
        <v>8.2034109789999992</v>
      </c>
      <c r="N30" s="176">
        <f t="shared" si="9"/>
        <v>0.99866905300000042</v>
      </c>
      <c r="O30" s="176">
        <f t="shared" si="10"/>
        <v>0.76297289900000109</v>
      </c>
    </row>
    <row r="31" spans="2:16" x14ac:dyDescent="0.2">
      <c r="B31" s="174">
        <v>6</v>
      </c>
      <c r="C31" s="175" t="s">
        <v>341</v>
      </c>
      <c r="D31" s="175">
        <v>100510</v>
      </c>
      <c r="E31" s="172"/>
      <c r="F31" s="176">
        <f t="shared" si="5"/>
        <v>0.96055504500000011</v>
      </c>
      <c r="G31" s="176"/>
      <c r="H31" s="176"/>
      <c r="I31" s="177">
        <f t="shared" si="6"/>
        <v>0.96055504500000011</v>
      </c>
      <c r="J31" s="176">
        <f t="shared" si="7"/>
        <v>0.68269304499999994</v>
      </c>
      <c r="K31" s="156">
        <v>7.5463526000000003E-2</v>
      </c>
      <c r="L31" s="176"/>
      <c r="M31" s="177">
        <f t="shared" si="8"/>
        <v>0.758156571</v>
      </c>
      <c r="N31" s="176">
        <f t="shared" si="9"/>
        <v>0.27786200000000016</v>
      </c>
      <c r="O31" s="176">
        <f t="shared" si="10"/>
        <v>0.20239847400000011</v>
      </c>
    </row>
    <row r="32" spans="2:16" x14ac:dyDescent="0.2">
      <c r="B32" s="174">
        <v>7</v>
      </c>
      <c r="C32" s="175" t="s">
        <v>342</v>
      </c>
      <c r="D32" s="175">
        <v>100610</v>
      </c>
      <c r="E32" s="172"/>
      <c r="F32" s="176">
        <f t="shared" si="5"/>
        <v>0.77460854100000009</v>
      </c>
      <c r="G32" s="176"/>
      <c r="H32" s="176"/>
      <c r="I32" s="177">
        <f t="shared" si="6"/>
        <v>0.77460854100000009</v>
      </c>
      <c r="J32" s="176">
        <f t="shared" si="7"/>
        <v>0.35441906400000001</v>
      </c>
      <c r="K32" s="156">
        <v>0.165272326</v>
      </c>
      <c r="L32" s="176"/>
      <c r="M32" s="177">
        <f t="shared" si="8"/>
        <v>0.51969138999999998</v>
      </c>
      <c r="N32" s="176">
        <f t="shared" si="9"/>
        <v>0.42018947700000009</v>
      </c>
      <c r="O32" s="176">
        <f t="shared" si="10"/>
        <v>0.25491715100000012</v>
      </c>
    </row>
    <row r="33" spans="2:16" x14ac:dyDescent="0.2">
      <c r="B33" s="174">
        <v>8</v>
      </c>
      <c r="C33" s="175" t="s">
        <v>308</v>
      </c>
      <c r="D33" s="175">
        <v>100710</v>
      </c>
      <c r="E33" s="172"/>
      <c r="F33" s="176">
        <f t="shared" si="5"/>
        <v>1.10310112</v>
      </c>
      <c r="G33" s="176"/>
      <c r="H33" s="176"/>
      <c r="I33" s="177">
        <f t="shared" si="6"/>
        <v>1.10310112</v>
      </c>
      <c r="J33" s="176">
        <f t="shared" si="7"/>
        <v>0.92583582900000005</v>
      </c>
      <c r="K33" s="156">
        <v>0.15392484300000001</v>
      </c>
      <c r="L33" s="176"/>
      <c r="M33" s="177">
        <f t="shared" si="8"/>
        <v>1.0797606720000001</v>
      </c>
      <c r="N33" s="176">
        <f t="shared" si="9"/>
        <v>0.17726529099999999</v>
      </c>
      <c r="O33" s="176">
        <f t="shared" si="10"/>
        <v>2.3340447999999903E-2</v>
      </c>
    </row>
    <row r="34" spans="2:16" x14ac:dyDescent="0.2">
      <c r="B34" s="174">
        <v>9</v>
      </c>
      <c r="C34" s="175" t="s">
        <v>343</v>
      </c>
      <c r="D34" s="175">
        <v>100900</v>
      </c>
      <c r="E34" s="172"/>
      <c r="F34" s="176">
        <f t="shared" si="5"/>
        <v>0</v>
      </c>
      <c r="G34" s="176"/>
      <c r="H34" s="176"/>
      <c r="I34" s="177">
        <f t="shared" si="6"/>
        <v>0</v>
      </c>
      <c r="J34" s="176">
        <f t="shared" si="7"/>
        <v>0</v>
      </c>
      <c r="K34" s="156">
        <v>0</v>
      </c>
      <c r="L34" s="176"/>
      <c r="M34" s="177">
        <f t="shared" si="8"/>
        <v>0</v>
      </c>
      <c r="N34" s="176">
        <f t="shared" si="9"/>
        <v>0</v>
      </c>
      <c r="O34" s="176">
        <f t="shared" si="10"/>
        <v>0</v>
      </c>
    </row>
    <row r="35" spans="2:16" x14ac:dyDescent="0.2">
      <c r="B35" s="174">
        <v>10</v>
      </c>
      <c r="C35" s="175" t="s">
        <v>344</v>
      </c>
      <c r="D35" s="175">
        <v>100910</v>
      </c>
      <c r="E35" s="172"/>
      <c r="F35" s="176">
        <f t="shared" si="5"/>
        <v>0.664398673</v>
      </c>
      <c r="G35" s="176"/>
      <c r="H35" s="176"/>
      <c r="I35" s="177">
        <f t="shared" si="6"/>
        <v>0.664398673</v>
      </c>
      <c r="J35" s="176">
        <f t="shared" si="7"/>
        <v>0.39744834200000001</v>
      </c>
      <c r="K35" s="156">
        <v>6.673758199999999E-2</v>
      </c>
      <c r="L35" s="176"/>
      <c r="M35" s="177">
        <f t="shared" si="8"/>
        <v>0.46418592400000003</v>
      </c>
      <c r="N35" s="176">
        <f t="shared" si="9"/>
        <v>0.26695033099999999</v>
      </c>
      <c r="O35" s="176">
        <f t="shared" si="10"/>
        <v>0.20021274899999997</v>
      </c>
    </row>
    <row r="36" spans="2:16" x14ac:dyDescent="0.2">
      <c r="B36" s="174">
        <v>11</v>
      </c>
      <c r="C36" s="175" t="s">
        <v>309</v>
      </c>
      <c r="D36" s="175">
        <v>100960</v>
      </c>
      <c r="E36" s="172"/>
      <c r="F36" s="176">
        <f t="shared" si="5"/>
        <v>1.034071398</v>
      </c>
      <c r="G36" s="176"/>
      <c r="H36" s="176"/>
      <c r="I36" s="177">
        <f t="shared" si="6"/>
        <v>1.034071398</v>
      </c>
      <c r="J36" s="176">
        <f t="shared" si="7"/>
        <v>0.82518802099999999</v>
      </c>
      <c r="K36" s="156"/>
      <c r="L36" s="176"/>
      <c r="M36" s="177">
        <f t="shared" si="8"/>
        <v>0.82518802099999999</v>
      </c>
      <c r="N36" s="176">
        <f t="shared" si="9"/>
        <v>0.20888337700000004</v>
      </c>
      <c r="O36" s="176">
        <f t="shared" si="10"/>
        <v>0.20888337700000004</v>
      </c>
    </row>
    <row r="37" spans="2:16" s="48" customFormat="1" ht="15" x14ac:dyDescent="0.2">
      <c r="B37" s="179"/>
      <c r="C37" s="180" t="s">
        <v>127</v>
      </c>
      <c r="D37" s="180"/>
      <c r="E37" s="181">
        <f>IFERROR((K37-L37)/AVERAGE(F37,I37),0)</f>
        <v>3.0677681830691184E-2</v>
      </c>
      <c r="F37" s="178">
        <f>ROUND(SUM(F26:F36),2)</f>
        <v>1925.83</v>
      </c>
      <c r="G37" s="178">
        <f t="shared" ref="G37:O37" si="11">ROUND(SUM(G26:G36),2)</f>
        <v>0</v>
      </c>
      <c r="H37" s="178">
        <f t="shared" si="11"/>
        <v>0</v>
      </c>
      <c r="I37" s="178">
        <f t="shared" si="11"/>
        <v>1925.83</v>
      </c>
      <c r="J37" s="178">
        <f t="shared" si="11"/>
        <v>1319.72</v>
      </c>
      <c r="K37" s="178">
        <f t="shared" si="11"/>
        <v>59.08</v>
      </c>
      <c r="L37" s="178">
        <f t="shared" si="11"/>
        <v>0</v>
      </c>
      <c r="M37" s="178">
        <f t="shared" si="11"/>
        <v>1378.8</v>
      </c>
      <c r="N37" s="178">
        <f t="shared" si="11"/>
        <v>606.11</v>
      </c>
      <c r="O37" s="178">
        <f t="shared" si="11"/>
        <v>547.04</v>
      </c>
    </row>
    <row r="38" spans="2:16" x14ac:dyDescent="0.2"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</row>
    <row r="39" spans="2:16" ht="15" x14ac:dyDescent="0.2">
      <c r="B39" s="240" t="s">
        <v>332</v>
      </c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</row>
    <row r="40" spans="2:16" ht="15" x14ac:dyDescent="0.2">
      <c r="B40" s="239" t="s">
        <v>2</v>
      </c>
      <c r="C40" s="241" t="s">
        <v>236</v>
      </c>
      <c r="D40" s="239" t="s">
        <v>225</v>
      </c>
      <c r="E40" s="239" t="s">
        <v>226</v>
      </c>
      <c r="F40" s="239" t="s">
        <v>227</v>
      </c>
      <c r="G40" s="239"/>
      <c r="H40" s="239"/>
      <c r="I40" s="239"/>
      <c r="J40" s="239" t="s">
        <v>228</v>
      </c>
      <c r="K40" s="239"/>
      <c r="L40" s="239"/>
      <c r="M40" s="239"/>
      <c r="N40" s="239" t="s">
        <v>229</v>
      </c>
      <c r="O40" s="239"/>
    </row>
    <row r="41" spans="2:16" ht="60" x14ac:dyDescent="0.2">
      <c r="B41" s="239"/>
      <c r="C41" s="241"/>
      <c r="D41" s="239"/>
      <c r="E41" s="239"/>
      <c r="F41" s="173" t="s">
        <v>230</v>
      </c>
      <c r="G41" s="173" t="s">
        <v>126</v>
      </c>
      <c r="H41" s="173" t="s">
        <v>231</v>
      </c>
      <c r="I41" s="173" t="s">
        <v>232</v>
      </c>
      <c r="J41" s="173" t="s">
        <v>233</v>
      </c>
      <c r="K41" s="173" t="s">
        <v>126</v>
      </c>
      <c r="L41" s="173" t="s">
        <v>234</v>
      </c>
      <c r="M41" s="173" t="s">
        <v>235</v>
      </c>
      <c r="N41" s="173" t="s">
        <v>230</v>
      </c>
      <c r="O41" s="173" t="s">
        <v>232</v>
      </c>
    </row>
    <row r="42" spans="2:16" x14ac:dyDescent="0.2">
      <c r="B42" s="174">
        <v>1</v>
      </c>
      <c r="C42" s="175" t="s">
        <v>336</v>
      </c>
      <c r="D42" s="175">
        <v>100010</v>
      </c>
      <c r="E42" s="172"/>
      <c r="F42" s="156">
        <f>I26</f>
        <v>1.66503E-2</v>
      </c>
      <c r="G42" s="156"/>
      <c r="H42" s="176"/>
      <c r="I42" s="177">
        <f t="shared" ref="I42:I52" si="12">F42+G42+H42</f>
        <v>1.66503E-2</v>
      </c>
      <c r="J42" s="176">
        <f t="shared" ref="J42:J52" si="13">M26</f>
        <v>0</v>
      </c>
      <c r="K42" s="156">
        <v>0</v>
      </c>
      <c r="L42" s="176"/>
      <c r="M42" s="177">
        <f t="shared" ref="M42:M51" si="14">J42+K42+L42</f>
        <v>0</v>
      </c>
      <c r="N42" s="176">
        <f t="shared" ref="N42:N51" si="15">+F42-J42</f>
        <v>1.66503E-2</v>
      </c>
      <c r="O42" s="176">
        <f t="shared" ref="O42:O51" si="16">+I42-M42</f>
        <v>1.66503E-2</v>
      </c>
    </row>
    <row r="43" spans="2:16" x14ac:dyDescent="0.2">
      <c r="B43" s="174">
        <v>2</v>
      </c>
      <c r="C43" s="175" t="s">
        <v>337</v>
      </c>
      <c r="D43" s="175">
        <v>100110</v>
      </c>
      <c r="E43" s="172"/>
      <c r="F43" s="156">
        <f t="shared" ref="F43:F51" si="17">I27</f>
        <v>49.452357536999997</v>
      </c>
      <c r="G43" s="156"/>
      <c r="H43" s="176"/>
      <c r="I43" s="177">
        <f t="shared" si="12"/>
        <v>49.452357536999997</v>
      </c>
      <c r="J43" s="176">
        <f t="shared" si="13"/>
        <v>43.214519015000008</v>
      </c>
      <c r="K43" s="156">
        <v>0.52345634000000008</v>
      </c>
      <c r="L43" s="176"/>
      <c r="M43" s="177">
        <f t="shared" si="14"/>
        <v>43.73797535500001</v>
      </c>
      <c r="N43" s="176">
        <f t="shared" si="15"/>
        <v>6.2378385219999899</v>
      </c>
      <c r="O43" s="176">
        <f t="shared" si="16"/>
        <v>5.7143821819999872</v>
      </c>
    </row>
    <row r="44" spans="2:16" x14ac:dyDescent="0.2">
      <c r="B44" s="174">
        <v>3</v>
      </c>
      <c r="C44" s="175" t="s">
        <v>338</v>
      </c>
      <c r="D44" s="175">
        <v>100210</v>
      </c>
      <c r="E44" s="172"/>
      <c r="F44" s="156">
        <f t="shared" si="17"/>
        <v>988.12224070000013</v>
      </c>
      <c r="G44" s="156"/>
      <c r="H44" s="176"/>
      <c r="I44" s="177">
        <f t="shared" si="12"/>
        <v>988.12224070000013</v>
      </c>
      <c r="J44" s="176">
        <f t="shared" si="13"/>
        <v>862.45402039799978</v>
      </c>
      <c r="K44" s="156">
        <v>33.838956634999995</v>
      </c>
      <c r="L44" s="176"/>
      <c r="M44" s="177">
        <f t="shared" si="14"/>
        <v>896.29297703299983</v>
      </c>
      <c r="N44" s="176">
        <f t="shared" si="15"/>
        <v>125.66822030200035</v>
      </c>
      <c r="O44" s="176">
        <f t="shared" si="16"/>
        <v>91.829263667000305</v>
      </c>
    </row>
    <row r="45" spans="2:16" x14ac:dyDescent="0.2">
      <c r="B45" s="174">
        <v>4</v>
      </c>
      <c r="C45" s="175" t="s">
        <v>339</v>
      </c>
      <c r="D45" s="175">
        <v>100310</v>
      </c>
      <c r="E45" s="172"/>
      <c r="F45" s="156">
        <f t="shared" si="17"/>
        <v>874.738613977</v>
      </c>
      <c r="G45" s="156"/>
      <c r="H45" s="176"/>
      <c r="I45" s="177">
        <f t="shared" si="12"/>
        <v>874.738613977</v>
      </c>
      <c r="J45" s="176">
        <f t="shared" si="13"/>
        <v>461.27818513899996</v>
      </c>
      <c r="K45" s="156">
        <v>23.797610703</v>
      </c>
      <c r="L45" s="176"/>
      <c r="M45" s="177">
        <f t="shared" si="14"/>
        <v>485.07579584199993</v>
      </c>
      <c r="N45" s="176">
        <f t="shared" si="15"/>
        <v>413.46042883800004</v>
      </c>
      <c r="O45" s="176">
        <f t="shared" si="16"/>
        <v>389.66281813500007</v>
      </c>
    </row>
    <row r="46" spans="2:16" x14ac:dyDescent="0.2">
      <c r="B46" s="174">
        <v>5</v>
      </c>
      <c r="C46" s="175" t="s">
        <v>340</v>
      </c>
      <c r="D46" s="175">
        <v>100410</v>
      </c>
      <c r="E46" s="172"/>
      <c r="F46" s="156">
        <f t="shared" si="17"/>
        <v>8.9663838780000003</v>
      </c>
      <c r="G46" s="156"/>
      <c r="H46" s="176"/>
      <c r="I46" s="177">
        <f t="shared" si="12"/>
        <v>8.9663838780000003</v>
      </c>
      <c r="J46" s="176">
        <f t="shared" si="13"/>
        <v>8.2034109789999992</v>
      </c>
      <c r="K46" s="156">
        <v>0.23569615399999999</v>
      </c>
      <c r="L46" s="176"/>
      <c r="M46" s="177">
        <f t="shared" si="14"/>
        <v>8.4391071329999985</v>
      </c>
      <c r="N46" s="176">
        <f t="shared" si="15"/>
        <v>0.76297289900000109</v>
      </c>
      <c r="O46" s="176">
        <f t="shared" si="16"/>
        <v>0.52727674500000177</v>
      </c>
    </row>
    <row r="47" spans="2:16" x14ac:dyDescent="0.2">
      <c r="B47" s="174">
        <v>6</v>
      </c>
      <c r="C47" s="175" t="s">
        <v>341</v>
      </c>
      <c r="D47" s="175">
        <v>100510</v>
      </c>
      <c r="E47" s="172"/>
      <c r="F47" s="156">
        <f t="shared" si="17"/>
        <v>0.96055504500000011</v>
      </c>
      <c r="G47" s="156"/>
      <c r="H47" s="176"/>
      <c r="I47" s="177">
        <f t="shared" si="12"/>
        <v>0.96055504500000011</v>
      </c>
      <c r="J47" s="176">
        <f t="shared" si="13"/>
        <v>0.758156571</v>
      </c>
      <c r="K47" s="156">
        <v>7.5463526000000003E-2</v>
      </c>
      <c r="L47" s="176"/>
      <c r="M47" s="177">
        <f t="shared" si="14"/>
        <v>0.83362009700000006</v>
      </c>
      <c r="N47" s="176">
        <f t="shared" si="15"/>
        <v>0.20239847400000011</v>
      </c>
      <c r="O47" s="176">
        <f t="shared" si="16"/>
        <v>0.12693494800000005</v>
      </c>
    </row>
    <row r="48" spans="2:16" x14ac:dyDescent="0.2">
      <c r="B48" s="174">
        <v>7</v>
      </c>
      <c r="C48" s="175" t="s">
        <v>342</v>
      </c>
      <c r="D48" s="175">
        <v>100610</v>
      </c>
      <c r="E48" s="172"/>
      <c r="F48" s="156">
        <f t="shared" si="17"/>
        <v>0.77460854100000009</v>
      </c>
      <c r="G48" s="156"/>
      <c r="H48" s="176"/>
      <c r="I48" s="177">
        <f t="shared" si="12"/>
        <v>0.77460854100000009</v>
      </c>
      <c r="J48" s="176">
        <f t="shared" si="13"/>
        <v>0.51969138999999998</v>
      </c>
      <c r="K48" s="156">
        <v>0.165272326</v>
      </c>
      <c r="L48" s="176"/>
      <c r="M48" s="177">
        <f t="shared" si="14"/>
        <v>0.68496371599999994</v>
      </c>
      <c r="N48" s="176">
        <f t="shared" si="15"/>
        <v>0.25491715100000012</v>
      </c>
      <c r="O48" s="176">
        <f t="shared" si="16"/>
        <v>8.964482500000015E-2</v>
      </c>
    </row>
    <row r="49" spans="2:15" x14ac:dyDescent="0.2">
      <c r="B49" s="174">
        <v>8</v>
      </c>
      <c r="C49" s="175" t="s">
        <v>308</v>
      </c>
      <c r="D49" s="175">
        <v>100710</v>
      </c>
      <c r="E49" s="172"/>
      <c r="F49" s="156">
        <f t="shared" si="17"/>
        <v>1.10310112</v>
      </c>
      <c r="G49" s="156"/>
      <c r="H49" s="176"/>
      <c r="I49" s="177">
        <f t="shared" si="12"/>
        <v>1.10310112</v>
      </c>
      <c r="J49" s="176">
        <f t="shared" si="13"/>
        <v>1.0797606720000001</v>
      </c>
      <c r="K49" s="156">
        <v>0.15392484300000001</v>
      </c>
      <c r="L49" s="176"/>
      <c r="M49" s="177">
        <f t="shared" si="14"/>
        <v>1.2336855150000001</v>
      </c>
      <c r="N49" s="176">
        <f t="shared" si="15"/>
        <v>2.3340447999999903E-2</v>
      </c>
      <c r="O49" s="176">
        <f t="shared" si="16"/>
        <v>-0.13058439500000008</v>
      </c>
    </row>
    <row r="50" spans="2:15" x14ac:dyDescent="0.2">
      <c r="B50" s="174">
        <v>9</v>
      </c>
      <c r="C50" s="175" t="s">
        <v>343</v>
      </c>
      <c r="D50" s="175">
        <v>100900</v>
      </c>
      <c r="E50" s="172"/>
      <c r="F50" s="156">
        <f t="shared" si="17"/>
        <v>0</v>
      </c>
      <c r="G50" s="156"/>
      <c r="H50" s="176"/>
      <c r="I50" s="177">
        <f t="shared" si="12"/>
        <v>0</v>
      </c>
      <c r="J50" s="176">
        <f t="shared" si="13"/>
        <v>0</v>
      </c>
      <c r="K50" s="156">
        <v>0</v>
      </c>
      <c r="L50" s="176"/>
      <c r="M50" s="177">
        <f t="shared" si="14"/>
        <v>0</v>
      </c>
      <c r="N50" s="176">
        <f t="shared" si="15"/>
        <v>0</v>
      </c>
      <c r="O50" s="176">
        <f t="shared" si="16"/>
        <v>0</v>
      </c>
    </row>
    <row r="51" spans="2:15" x14ac:dyDescent="0.2">
      <c r="B51" s="174">
        <v>10</v>
      </c>
      <c r="C51" s="175" t="s">
        <v>344</v>
      </c>
      <c r="D51" s="175">
        <v>100910</v>
      </c>
      <c r="E51" s="172"/>
      <c r="F51" s="156">
        <f t="shared" si="17"/>
        <v>0.664398673</v>
      </c>
      <c r="G51" s="156"/>
      <c r="H51" s="176"/>
      <c r="I51" s="177">
        <f t="shared" si="12"/>
        <v>0.664398673</v>
      </c>
      <c r="J51" s="176">
        <f t="shared" si="13"/>
        <v>0.46418592400000003</v>
      </c>
      <c r="K51" s="156">
        <v>6.673758199999999E-2</v>
      </c>
      <c r="L51" s="176"/>
      <c r="M51" s="177">
        <f t="shared" si="14"/>
        <v>0.53092350600000005</v>
      </c>
      <c r="N51" s="176">
        <f t="shared" si="15"/>
        <v>0.20021274899999997</v>
      </c>
      <c r="O51" s="176">
        <f t="shared" si="16"/>
        <v>0.13347516699999995</v>
      </c>
    </row>
    <row r="52" spans="2:15" x14ac:dyDescent="0.2">
      <c r="B52" s="174">
        <v>11</v>
      </c>
      <c r="C52" s="175" t="s">
        <v>309</v>
      </c>
      <c r="D52" s="175">
        <v>100960</v>
      </c>
      <c r="E52" s="172"/>
      <c r="F52" s="156">
        <f>I36</f>
        <v>1.034071398</v>
      </c>
      <c r="G52" s="156"/>
      <c r="H52" s="176">
        <f>ROUND(SUM(H41:H51),2)</f>
        <v>0</v>
      </c>
      <c r="I52" s="177">
        <f t="shared" si="12"/>
        <v>1.034071398</v>
      </c>
      <c r="J52" s="176">
        <f t="shared" si="13"/>
        <v>0.82518802099999999</v>
      </c>
      <c r="K52" s="156">
        <v>0.21288189100000002</v>
      </c>
      <c r="L52" s="176">
        <f>ROUND(SUM(L41:L51),2)</f>
        <v>0</v>
      </c>
      <c r="M52" s="177">
        <f t="shared" ref="M52" si="18">J52+K52+L52</f>
        <v>1.0380699120000001</v>
      </c>
      <c r="N52" s="176">
        <f t="shared" ref="N52" si="19">+F52-J52</f>
        <v>0.20888337700000004</v>
      </c>
      <c r="O52" s="176">
        <f t="shared" ref="O52" si="20">+I52-M52</f>
        <v>-3.9985140000000641E-3</v>
      </c>
    </row>
    <row r="53" spans="2:15" ht="15" x14ac:dyDescent="0.2">
      <c r="B53" s="182"/>
      <c r="C53" s="183" t="s">
        <v>127</v>
      </c>
      <c r="D53" s="183"/>
      <c r="E53" s="184">
        <f>IFERROR((K53-L53)/AVERAGE(F53,I53),0)</f>
        <v>3.0672489264369131E-2</v>
      </c>
      <c r="F53" s="185">
        <f>ROUND(SUM(F42:F52),2)</f>
        <v>1925.83</v>
      </c>
      <c r="G53" s="185">
        <f t="shared" ref="G53:O53" si="21">ROUND(SUM(G42:G52),2)</f>
        <v>0</v>
      </c>
      <c r="H53" s="185">
        <f t="shared" si="21"/>
        <v>0</v>
      </c>
      <c r="I53" s="185">
        <f t="shared" si="21"/>
        <v>1925.83</v>
      </c>
      <c r="J53" s="185">
        <f t="shared" si="21"/>
        <v>1378.8</v>
      </c>
      <c r="K53" s="185">
        <f t="shared" si="21"/>
        <v>59.07</v>
      </c>
      <c r="L53" s="185">
        <f t="shared" si="21"/>
        <v>0</v>
      </c>
      <c r="M53" s="185">
        <f t="shared" si="21"/>
        <v>1437.87</v>
      </c>
      <c r="N53" s="185">
        <f t="shared" si="21"/>
        <v>547.04</v>
      </c>
      <c r="O53" s="185">
        <f t="shared" si="21"/>
        <v>487.97</v>
      </c>
    </row>
    <row r="54" spans="2:15" x14ac:dyDescent="0.2">
      <c r="K54" s="136"/>
    </row>
  </sheetData>
  <mergeCells count="24">
    <mergeCell ref="B39:O39"/>
    <mergeCell ref="B40:B41"/>
    <mergeCell ref="C40:C41"/>
    <mergeCell ref="D40:D41"/>
    <mergeCell ref="E40:E41"/>
    <mergeCell ref="F40:I40"/>
    <mergeCell ref="J40:M40"/>
    <mergeCell ref="N40:O40"/>
    <mergeCell ref="B23:O23"/>
    <mergeCell ref="B24:B25"/>
    <mergeCell ref="C24:C25"/>
    <mergeCell ref="D24:D25"/>
    <mergeCell ref="E24:E25"/>
    <mergeCell ref="F24:I24"/>
    <mergeCell ref="J24:M24"/>
    <mergeCell ref="N24:O24"/>
    <mergeCell ref="J8:M8"/>
    <mergeCell ref="N8:O8"/>
    <mergeCell ref="B7:O7"/>
    <mergeCell ref="B8:B9"/>
    <mergeCell ref="C8:C9"/>
    <mergeCell ref="D8:D9"/>
    <mergeCell ref="E8:E9"/>
    <mergeCell ref="F8:I8"/>
  </mergeCells>
  <pageMargins left="0.27" right="0.25" top="0.25" bottom="0.25" header="0.25" footer="0.25"/>
  <pageSetup paperSize="9" scale="87" fitToHeight="0" orientation="landscape" r:id="rId1"/>
  <headerFooter alignWithMargins="0"/>
  <rowBreaks count="1" manualBreakCount="1">
    <brk id="2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topLeftCell="B6" zoomScale="98" zoomScaleNormal="98" zoomScaleSheetLayoutView="90" workbookViewId="0">
      <selection activeCell="G45" sqref="G45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3.7109375" style="5" customWidth="1"/>
    <col min="4" max="4" width="12.140625" style="5" customWidth="1"/>
    <col min="5" max="5" width="11.28515625" style="5" customWidth="1"/>
    <col min="6" max="6" width="13.7109375" style="5" customWidth="1"/>
    <col min="7" max="7" width="13" style="5" customWidth="1"/>
    <col min="8" max="8" width="11.42578125" style="5" customWidth="1"/>
    <col min="9" max="9" width="11.5703125" style="5" customWidth="1"/>
    <col min="10" max="10" width="10.28515625" style="5" customWidth="1"/>
    <col min="11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E2" s="32" t="s">
        <v>303</v>
      </c>
    </row>
    <row r="3" spans="2:10" ht="15" x14ac:dyDescent="0.2">
      <c r="E3" s="32" t="str">
        <f>'F1'!$F$3</f>
        <v>Nagarjuna Sagar HES</v>
      </c>
    </row>
    <row r="4" spans="2:10" ht="15" x14ac:dyDescent="0.2">
      <c r="E4" s="35" t="s">
        <v>245</v>
      </c>
    </row>
    <row r="5" spans="2:10" ht="15" x14ac:dyDescent="0.2">
      <c r="B5" s="33" t="s">
        <v>45</v>
      </c>
      <c r="C5" s="24" t="s">
        <v>246</v>
      </c>
      <c r="J5" s="26" t="s">
        <v>4</v>
      </c>
    </row>
    <row r="6" spans="2:10" s="13" customFormat="1" ht="15" customHeight="1" x14ac:dyDescent="0.2">
      <c r="B6" s="221" t="s">
        <v>169</v>
      </c>
      <c r="C6" s="224" t="s">
        <v>18</v>
      </c>
      <c r="D6" s="228" t="s">
        <v>304</v>
      </c>
      <c r="E6" s="229"/>
      <c r="F6" s="230"/>
      <c r="G6" s="226" t="s">
        <v>305</v>
      </c>
      <c r="H6" s="226"/>
      <c r="I6" s="242" t="s">
        <v>332</v>
      </c>
      <c r="J6" s="243"/>
    </row>
    <row r="7" spans="2:10" s="13" customFormat="1" ht="30" x14ac:dyDescent="0.2">
      <c r="B7" s="222"/>
      <c r="C7" s="224"/>
      <c r="D7" s="15" t="s">
        <v>276</v>
      </c>
      <c r="E7" s="15" t="s">
        <v>211</v>
      </c>
      <c r="F7" s="15" t="s">
        <v>182</v>
      </c>
      <c r="G7" s="15" t="s">
        <v>276</v>
      </c>
      <c r="H7" s="15" t="s">
        <v>210</v>
      </c>
      <c r="I7" s="15" t="s">
        <v>276</v>
      </c>
      <c r="J7" s="15" t="s">
        <v>210</v>
      </c>
    </row>
    <row r="8" spans="2:10" s="13" customFormat="1" ht="30" x14ac:dyDescent="0.2">
      <c r="B8" s="223"/>
      <c r="C8" s="225"/>
      <c r="D8" s="15" t="s">
        <v>10</v>
      </c>
      <c r="E8" s="15" t="s">
        <v>12</v>
      </c>
      <c r="F8" s="15" t="s">
        <v>202</v>
      </c>
      <c r="G8" s="15" t="s">
        <v>10</v>
      </c>
      <c r="H8" s="15" t="s">
        <v>328</v>
      </c>
      <c r="I8" s="15" t="s">
        <v>10</v>
      </c>
      <c r="J8" s="15" t="s">
        <v>328</v>
      </c>
    </row>
    <row r="9" spans="2:10" x14ac:dyDescent="0.2">
      <c r="B9" s="61">
        <v>1</v>
      </c>
      <c r="C9" s="27" t="s">
        <v>153</v>
      </c>
      <c r="D9" s="2"/>
      <c r="E9" s="101">
        <f>'F4'!F21*70%</f>
        <v>1346.422</v>
      </c>
      <c r="F9" s="101">
        <f>E9</f>
        <v>1346.422</v>
      </c>
      <c r="G9" s="21"/>
      <c r="H9" s="94">
        <f>E9+E13</f>
        <v>1348.2070000000001</v>
      </c>
      <c r="I9" s="21"/>
      <c r="J9" s="94">
        <f>H9+H13</f>
        <v>1348.2070000000001</v>
      </c>
    </row>
    <row r="10" spans="2:10" x14ac:dyDescent="0.2">
      <c r="B10" s="20">
        <f>B9+1</f>
        <v>2</v>
      </c>
      <c r="C10" s="27" t="s">
        <v>154</v>
      </c>
      <c r="D10" s="2"/>
      <c r="E10" s="101">
        <f>'F4'!J21</f>
        <v>1260.8</v>
      </c>
      <c r="F10" s="101">
        <f>E10</f>
        <v>1260.8</v>
      </c>
      <c r="G10" s="94"/>
      <c r="H10" s="94">
        <f>'F4'!J37</f>
        <v>1319.72</v>
      </c>
      <c r="I10" s="21"/>
      <c r="J10" s="94">
        <f>H10+H14</f>
        <v>1378.8</v>
      </c>
    </row>
    <row r="11" spans="2:10" ht="15" x14ac:dyDescent="0.2">
      <c r="B11" s="20">
        <f t="shared" ref="B11:B21" si="0">B10+1</f>
        <v>3</v>
      </c>
      <c r="C11" s="29" t="s">
        <v>155</v>
      </c>
      <c r="D11" s="98">
        <f>D9-D10</f>
        <v>0</v>
      </c>
      <c r="E11" s="98">
        <f>IF((E9-E10)&lt;0,0,(E9-E10))</f>
        <v>85.622000000000071</v>
      </c>
      <c r="F11" s="98">
        <f>IF((F9-F10)&lt;0,0,(F9-F10))</f>
        <v>85.622000000000071</v>
      </c>
      <c r="G11" s="98">
        <f>IF((G9-G10)&lt;0,0,(G9-G10))</f>
        <v>0</v>
      </c>
      <c r="H11" s="98">
        <f>IF((H9-H10)&lt;0,0,(H9-H10))</f>
        <v>28.48700000000008</v>
      </c>
      <c r="I11" s="98"/>
      <c r="J11" s="98">
        <f>IF((J9-J10)&lt;0,0,(J9-J10))</f>
        <v>0</v>
      </c>
    </row>
    <row r="12" spans="2:10" ht="28.5" x14ac:dyDescent="0.2">
      <c r="B12" s="20">
        <f t="shared" si="0"/>
        <v>4</v>
      </c>
      <c r="C12" s="66" t="s">
        <v>156</v>
      </c>
      <c r="D12" s="100"/>
      <c r="E12" s="100"/>
      <c r="F12" s="100"/>
      <c r="G12" s="100"/>
      <c r="H12" s="100"/>
      <c r="I12" s="100"/>
      <c r="J12" s="100"/>
    </row>
    <row r="13" spans="2:10" s="32" customFormat="1" ht="28.5" x14ac:dyDescent="0.2">
      <c r="B13" s="20">
        <f t="shared" si="0"/>
        <v>5</v>
      </c>
      <c r="C13" s="37" t="s">
        <v>300</v>
      </c>
      <c r="D13" s="100"/>
      <c r="E13" s="106">
        <f>'F3'!E12*75%</f>
        <v>1.7849999999999999</v>
      </c>
      <c r="F13" s="106">
        <f>'F3'!F12*75%</f>
        <v>1.7849999999999999</v>
      </c>
      <c r="G13" s="106">
        <f>'F3'!G12*75%</f>
        <v>0</v>
      </c>
      <c r="H13" s="106">
        <f>'F3'!H12*75%</f>
        <v>0</v>
      </c>
      <c r="I13" s="106">
        <f>'F3'!I12*75%</f>
        <v>0</v>
      </c>
      <c r="J13" s="106">
        <f>'F3'!J12*75%</f>
        <v>0</v>
      </c>
    </row>
    <row r="14" spans="2:10" x14ac:dyDescent="0.2">
      <c r="B14" s="20">
        <f t="shared" si="0"/>
        <v>6</v>
      </c>
      <c r="C14" s="66" t="s">
        <v>161</v>
      </c>
      <c r="D14" s="114"/>
      <c r="E14" s="114">
        <f>'F1'!G11</f>
        <v>58.92</v>
      </c>
      <c r="F14" s="114">
        <f>'F1'!H11</f>
        <v>58.92</v>
      </c>
      <c r="G14" s="114"/>
      <c r="H14" s="114">
        <f>'F1'!J11</f>
        <v>59.08</v>
      </c>
      <c r="I14" s="114"/>
      <c r="J14" s="114">
        <f>'F1'!L11</f>
        <v>59.07</v>
      </c>
    </row>
    <row r="15" spans="2:10" ht="15" x14ac:dyDescent="0.2">
      <c r="B15" s="20">
        <f t="shared" si="0"/>
        <v>7</v>
      </c>
      <c r="C15" s="27" t="s">
        <v>157</v>
      </c>
      <c r="D15" s="98"/>
      <c r="E15" s="98">
        <f>IF((E11-E12+E13-E14)&lt;0,0,(E11-E12+E13-E14))</f>
        <v>28.487000000000066</v>
      </c>
      <c r="F15" s="98">
        <f>IF((F11-F12+F13-F14)&lt;0,0,(F11-F12+F13-F14))</f>
        <v>28.487000000000066</v>
      </c>
      <c r="G15" s="98"/>
      <c r="H15" s="98">
        <f>IF((H11-H12+H13-H14)&lt;0,0,(H11-H12+H13-H14))</f>
        <v>0</v>
      </c>
      <c r="I15" s="98"/>
      <c r="J15" s="98">
        <f>IF((J11-J12+J13-J14)&lt;0,0,(J11-J12+J13-J14))</f>
        <v>0</v>
      </c>
    </row>
    <row r="16" spans="2:10" ht="15" x14ac:dyDescent="0.2">
      <c r="B16" s="20">
        <f t="shared" si="0"/>
        <v>8</v>
      </c>
      <c r="C16" s="27" t="s">
        <v>158</v>
      </c>
      <c r="D16" s="98"/>
      <c r="E16" s="98">
        <f t="shared" ref="E16:J16" si="1">E9-E12+E13-E14</f>
        <v>1289.287</v>
      </c>
      <c r="F16" s="98">
        <f t="shared" si="1"/>
        <v>1289.287</v>
      </c>
      <c r="G16" s="98"/>
      <c r="H16" s="98">
        <f t="shared" si="1"/>
        <v>1289.1270000000002</v>
      </c>
      <c r="I16" s="98"/>
      <c r="J16" s="98">
        <f t="shared" si="1"/>
        <v>1289.1370000000002</v>
      </c>
    </row>
    <row r="17" spans="2:10" ht="15" x14ac:dyDescent="0.2">
      <c r="B17" s="20">
        <f t="shared" si="0"/>
        <v>9</v>
      </c>
      <c r="C17" s="27" t="s">
        <v>186</v>
      </c>
      <c r="D17" s="98"/>
      <c r="E17" s="98">
        <f t="shared" ref="E17:J17" si="2">AVERAGE(E11,E15)</f>
        <v>57.054500000000068</v>
      </c>
      <c r="F17" s="98">
        <f t="shared" si="2"/>
        <v>57.054500000000068</v>
      </c>
      <c r="G17" s="98"/>
      <c r="H17" s="98">
        <f t="shared" si="2"/>
        <v>14.24350000000004</v>
      </c>
      <c r="I17" s="98"/>
      <c r="J17" s="98">
        <f t="shared" si="2"/>
        <v>0</v>
      </c>
    </row>
    <row r="18" spans="2:10" x14ac:dyDescent="0.2">
      <c r="B18" s="20">
        <f t="shared" si="0"/>
        <v>10</v>
      </c>
      <c r="C18" s="66" t="s">
        <v>185</v>
      </c>
      <c r="D18" s="99"/>
      <c r="E18" s="99">
        <v>9.9500000000000005E-2</v>
      </c>
      <c r="F18" s="99">
        <f>E18</f>
        <v>9.9500000000000005E-2</v>
      </c>
      <c r="G18" s="99"/>
      <c r="H18" s="99">
        <v>0.10199999999999999</v>
      </c>
      <c r="I18" s="99"/>
      <c r="J18" s="99">
        <v>0.10199999999999999</v>
      </c>
    </row>
    <row r="19" spans="2:10" ht="15" x14ac:dyDescent="0.2">
      <c r="B19" s="20">
        <f t="shared" si="0"/>
        <v>11</v>
      </c>
      <c r="C19" s="27" t="s">
        <v>247</v>
      </c>
      <c r="D19" s="98">
        <f>D17*D18</f>
        <v>0</v>
      </c>
      <c r="E19" s="98">
        <f>ROUND(E17*E18,2)</f>
        <v>5.68</v>
      </c>
      <c r="F19" s="98">
        <f t="shared" ref="F19:J19" si="3">ROUND(F17*F18,2)</f>
        <v>5.68</v>
      </c>
      <c r="G19" s="98">
        <f t="shared" si="3"/>
        <v>0</v>
      </c>
      <c r="H19" s="98">
        <f t="shared" si="3"/>
        <v>1.45</v>
      </c>
      <c r="I19" s="98">
        <f t="shared" si="3"/>
        <v>0</v>
      </c>
      <c r="J19" s="98">
        <f t="shared" si="3"/>
        <v>0</v>
      </c>
    </row>
    <row r="20" spans="2:10" x14ac:dyDescent="0.2">
      <c r="B20" s="20">
        <f t="shared" si="0"/>
        <v>12</v>
      </c>
      <c r="C20" s="27" t="s">
        <v>249</v>
      </c>
      <c r="D20" s="67"/>
      <c r="E20" s="67"/>
      <c r="F20" s="67"/>
      <c r="G20" s="67"/>
      <c r="H20" s="67"/>
      <c r="I20" s="67"/>
      <c r="J20" s="67"/>
    </row>
    <row r="21" spans="2:10" ht="15" x14ac:dyDescent="0.2">
      <c r="B21" s="20">
        <f t="shared" si="0"/>
        <v>13</v>
      </c>
      <c r="C21" s="27" t="s">
        <v>250</v>
      </c>
      <c r="D21" s="98">
        <v>0</v>
      </c>
      <c r="E21" s="98">
        <f>IF((E19+E20)&lt;0,0,(E19+E20))</f>
        <v>5.68</v>
      </c>
      <c r="F21" s="98">
        <f>IF((F19+F20)&lt;0,0,(F19+F20))</f>
        <v>5.68</v>
      </c>
      <c r="G21" s="98">
        <v>0</v>
      </c>
      <c r="H21" s="98">
        <f>IF((H19+H20)&lt;0,0,(H19+H20))</f>
        <v>1.45</v>
      </c>
      <c r="I21" s="98">
        <v>0</v>
      </c>
      <c r="J21" s="98">
        <f>IF((J19+J20)&lt;0,0,(J19+J20))</f>
        <v>0</v>
      </c>
    </row>
    <row r="22" spans="2:10" x14ac:dyDescent="0.2">
      <c r="B22" s="34"/>
      <c r="C22" s="5" t="s">
        <v>213</v>
      </c>
    </row>
    <row r="23" spans="2:10" x14ac:dyDescent="0.2">
      <c r="C23" s="5" t="s">
        <v>301</v>
      </c>
    </row>
    <row r="25" spans="2:10" ht="15" x14ac:dyDescent="0.2">
      <c r="B25" s="33" t="s">
        <v>50</v>
      </c>
      <c r="C25" s="24" t="s">
        <v>248</v>
      </c>
    </row>
    <row r="27" spans="2:10" ht="15" customHeight="1" x14ac:dyDescent="0.2">
      <c r="B27" s="221" t="s">
        <v>169</v>
      </c>
      <c r="C27" s="224" t="s">
        <v>18</v>
      </c>
      <c r="D27" s="65" t="s">
        <v>304</v>
      </c>
      <c r="E27" s="65" t="s">
        <v>305</v>
      </c>
      <c r="F27" s="15" t="s">
        <v>332</v>
      </c>
    </row>
    <row r="28" spans="2:10" ht="15" x14ac:dyDescent="0.2">
      <c r="B28" s="222"/>
      <c r="C28" s="224"/>
      <c r="D28" s="15" t="s">
        <v>211</v>
      </c>
      <c r="E28" s="15" t="s">
        <v>210</v>
      </c>
      <c r="F28" s="15" t="s">
        <v>210</v>
      </c>
    </row>
    <row r="29" spans="2:10" ht="15" x14ac:dyDescent="0.2">
      <c r="B29" s="223"/>
      <c r="C29" s="225"/>
      <c r="D29" s="15" t="s">
        <v>12</v>
      </c>
      <c r="E29" s="15" t="s">
        <v>5</v>
      </c>
      <c r="F29" s="15" t="s">
        <v>8</v>
      </c>
    </row>
    <row r="30" spans="2:10" ht="15" x14ac:dyDescent="0.2">
      <c r="B30" s="20">
        <v>1</v>
      </c>
      <c r="C30" s="38" t="s">
        <v>353</v>
      </c>
      <c r="D30" s="27"/>
      <c r="E30" s="27"/>
      <c r="F30" s="27"/>
    </row>
    <row r="31" spans="2:10" x14ac:dyDescent="0.2">
      <c r="B31" s="27"/>
      <c r="C31" s="27" t="s">
        <v>13</v>
      </c>
      <c r="D31" s="27">
        <v>229.96</v>
      </c>
      <c r="E31" s="101">
        <f>D34</f>
        <v>198.60000000000002</v>
      </c>
      <c r="F31" s="101">
        <f>E34</f>
        <v>167.24</v>
      </c>
    </row>
    <row r="32" spans="2:10" x14ac:dyDescent="0.2">
      <c r="B32" s="27"/>
      <c r="C32" s="27" t="s">
        <v>149</v>
      </c>
      <c r="D32" s="27">
        <v>0</v>
      </c>
      <c r="E32" s="27">
        <v>0</v>
      </c>
      <c r="F32" s="27">
        <v>0</v>
      </c>
    </row>
    <row r="33" spans="2:6" x14ac:dyDescent="0.2">
      <c r="B33" s="27"/>
      <c r="C33" s="27" t="s">
        <v>14</v>
      </c>
      <c r="D33" s="27">
        <v>31.36</v>
      </c>
      <c r="E33" s="27">
        <v>31.36</v>
      </c>
      <c r="F33" s="27">
        <v>31.36</v>
      </c>
    </row>
    <row r="34" spans="2:6" ht="15" x14ac:dyDescent="0.2">
      <c r="B34" s="27"/>
      <c r="C34" s="27" t="s">
        <v>15</v>
      </c>
      <c r="D34" s="96">
        <f>D31+D32-D33</f>
        <v>198.60000000000002</v>
      </c>
      <c r="E34" s="96">
        <f>E31+E32-E33</f>
        <v>167.24</v>
      </c>
      <c r="F34" s="96">
        <f>F31+F32-F33</f>
        <v>135.88</v>
      </c>
    </row>
    <row r="35" spans="2:6" ht="15" x14ac:dyDescent="0.2">
      <c r="B35" s="27"/>
      <c r="C35" s="27" t="s">
        <v>187</v>
      </c>
      <c r="D35" s="96">
        <v>214.25</v>
      </c>
      <c r="E35" s="96">
        <f>E37/E36*100</f>
        <v>181.1764705882353</v>
      </c>
      <c r="F35" s="96">
        <f>F37/F36*100</f>
        <v>152.94117647058826</v>
      </c>
    </row>
    <row r="36" spans="2:6" x14ac:dyDescent="0.2">
      <c r="B36" s="27"/>
      <c r="C36" s="27" t="s">
        <v>16</v>
      </c>
      <c r="D36" s="101">
        <v>9.9499999999999993</v>
      </c>
      <c r="E36" s="101">
        <v>10.199999999999999</v>
      </c>
      <c r="F36" s="101">
        <v>10.199999999999999</v>
      </c>
    </row>
    <row r="37" spans="2:6" ht="15" x14ac:dyDescent="0.2">
      <c r="B37" s="27"/>
      <c r="C37" s="27" t="s">
        <v>247</v>
      </c>
      <c r="D37" s="96">
        <v>21.32</v>
      </c>
      <c r="E37" s="96">
        <v>18.48</v>
      </c>
      <c r="F37" s="96">
        <v>15.6</v>
      </c>
    </row>
    <row r="38" spans="2:6" x14ac:dyDescent="0.2">
      <c r="B38" s="27"/>
      <c r="C38" s="27" t="s">
        <v>249</v>
      </c>
      <c r="D38" s="101">
        <v>0</v>
      </c>
      <c r="E38" s="101">
        <v>0</v>
      </c>
      <c r="F38" s="101">
        <v>0</v>
      </c>
    </row>
    <row r="39" spans="2:6" ht="15" x14ac:dyDescent="0.2">
      <c r="B39" s="27"/>
      <c r="C39" s="27" t="s">
        <v>250</v>
      </c>
      <c r="D39" s="96">
        <f>D37+D38</f>
        <v>21.32</v>
      </c>
      <c r="E39" s="96">
        <f>E37+E38</f>
        <v>18.48</v>
      </c>
      <c r="F39" s="96">
        <f>F37+F38</f>
        <v>15.6</v>
      </c>
    </row>
    <row r="40" spans="2:6" ht="15" x14ac:dyDescent="0.2">
      <c r="B40" s="20"/>
      <c r="C40" s="38" t="s">
        <v>127</v>
      </c>
      <c r="D40" s="101"/>
      <c r="E40" s="101"/>
      <c r="F40" s="101"/>
    </row>
    <row r="41" spans="2:6" ht="15" x14ac:dyDescent="0.2">
      <c r="B41" s="27"/>
      <c r="C41" s="27" t="s">
        <v>13</v>
      </c>
      <c r="D41" s="96">
        <f t="shared" ref="D41:F43" si="4">D31</f>
        <v>229.96</v>
      </c>
      <c r="E41" s="96">
        <f t="shared" si="4"/>
        <v>198.60000000000002</v>
      </c>
      <c r="F41" s="96">
        <f t="shared" si="4"/>
        <v>167.24</v>
      </c>
    </row>
    <row r="42" spans="2:6" ht="15" x14ac:dyDescent="0.2">
      <c r="B42" s="27"/>
      <c r="C42" s="27" t="s">
        <v>149</v>
      </c>
      <c r="D42" s="96">
        <f t="shared" si="4"/>
        <v>0</v>
      </c>
      <c r="E42" s="96">
        <f t="shared" si="4"/>
        <v>0</v>
      </c>
      <c r="F42" s="96">
        <f t="shared" si="4"/>
        <v>0</v>
      </c>
    </row>
    <row r="43" spans="2:6" ht="15" x14ac:dyDescent="0.2">
      <c r="B43" s="27"/>
      <c r="C43" s="27" t="s">
        <v>14</v>
      </c>
      <c r="D43" s="96">
        <f t="shared" si="4"/>
        <v>31.36</v>
      </c>
      <c r="E43" s="96">
        <f t="shared" si="4"/>
        <v>31.36</v>
      </c>
      <c r="F43" s="96">
        <f t="shared" si="4"/>
        <v>31.36</v>
      </c>
    </row>
    <row r="44" spans="2:6" ht="15" x14ac:dyDescent="0.2">
      <c r="B44" s="27"/>
      <c r="C44" s="27" t="s">
        <v>15</v>
      </c>
      <c r="D44" s="96">
        <f>D41+D42-D43</f>
        <v>198.60000000000002</v>
      </c>
      <c r="E44" s="96">
        <f>E41+E42-E43</f>
        <v>167.24</v>
      </c>
      <c r="F44" s="96">
        <f>F41+F42-F43</f>
        <v>135.88</v>
      </c>
    </row>
    <row r="45" spans="2:6" ht="15" x14ac:dyDescent="0.2">
      <c r="B45" s="27"/>
      <c r="C45" s="27" t="s">
        <v>187</v>
      </c>
      <c r="D45" s="96">
        <f>D35</f>
        <v>214.25</v>
      </c>
      <c r="E45" s="96">
        <f>E35</f>
        <v>181.1764705882353</v>
      </c>
      <c r="F45" s="96">
        <f>F35</f>
        <v>152.94117647058826</v>
      </c>
    </row>
    <row r="46" spans="2:6" ht="15" x14ac:dyDescent="0.2">
      <c r="B46" s="27"/>
      <c r="C46" s="27" t="s">
        <v>16</v>
      </c>
      <c r="D46" s="115">
        <f>IFERROR(D47/D45,0)</f>
        <v>9.9509918319719948E-2</v>
      </c>
      <c r="E46" s="115">
        <f>IFERROR(E47/E45,0)</f>
        <v>0.10199999999999999</v>
      </c>
      <c r="F46" s="115">
        <f>IFERROR(F47/F45,0)</f>
        <v>0.10199999999999998</v>
      </c>
    </row>
    <row r="47" spans="2:6" ht="15" x14ac:dyDescent="0.2">
      <c r="B47" s="27"/>
      <c r="C47" s="27" t="s">
        <v>247</v>
      </c>
      <c r="D47" s="96">
        <f t="shared" ref="D47:F48" si="5">D37</f>
        <v>21.32</v>
      </c>
      <c r="E47" s="96">
        <f t="shared" si="5"/>
        <v>18.48</v>
      </c>
      <c r="F47" s="96">
        <f t="shared" si="5"/>
        <v>15.6</v>
      </c>
    </row>
    <row r="48" spans="2:6" ht="15" x14ac:dyDescent="0.2">
      <c r="B48" s="27"/>
      <c r="C48" s="27" t="s">
        <v>249</v>
      </c>
      <c r="D48" s="96">
        <f t="shared" si="5"/>
        <v>0</v>
      </c>
      <c r="E48" s="96">
        <f t="shared" si="5"/>
        <v>0</v>
      </c>
      <c r="F48" s="96">
        <f t="shared" si="5"/>
        <v>0</v>
      </c>
    </row>
    <row r="49" spans="2:6" s="32" customFormat="1" ht="15" x14ac:dyDescent="0.2">
      <c r="B49" s="38"/>
      <c r="C49" s="38" t="s">
        <v>250</v>
      </c>
      <c r="D49" s="96">
        <f>D47</f>
        <v>21.32</v>
      </c>
      <c r="E49" s="96">
        <f t="shared" ref="E49:F49" si="6">E47</f>
        <v>18.48</v>
      </c>
      <c r="F49" s="96">
        <f t="shared" si="6"/>
        <v>15.6</v>
      </c>
    </row>
  </sheetData>
  <mergeCells count="7">
    <mergeCell ref="B27:B29"/>
    <mergeCell ref="C27:C29"/>
    <mergeCell ref="I6:J6"/>
    <mergeCell ref="B6:B8"/>
    <mergeCell ref="C6:C8"/>
    <mergeCell ref="D6:F6"/>
    <mergeCell ref="G6:H6"/>
  </mergeCells>
  <pageMargins left="0.27559055118110237" right="0.23622047244094491" top="0.23622047244094491" bottom="0.23622047244094491" header="0.23622047244094491" footer="0.23622047244094491"/>
  <pageSetup paperSize="9" scale="93" fitToHeight="0" orientation="landscape" r:id="rId1"/>
  <headerFooter alignWithMargins="0"/>
  <rowBreaks count="1" manualBreakCount="1">
    <brk id="2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showGridLines="0" topLeftCell="A2" zoomScale="95" zoomScaleNormal="95" zoomScaleSheetLayoutView="90" workbookViewId="0">
      <selection activeCell="L8" sqref="L8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1.85546875" style="5" customWidth="1"/>
    <col min="5" max="5" width="11.7109375" style="5" customWidth="1"/>
    <col min="6" max="6" width="13.85546875" style="5" customWidth="1"/>
    <col min="7" max="7" width="12.85546875" style="5" customWidth="1"/>
    <col min="8" max="8" width="11.7109375" style="5" customWidth="1"/>
    <col min="9" max="9" width="12.28515625" style="5" customWidth="1"/>
    <col min="10" max="10" width="11.7109375" style="5" customWidth="1"/>
    <col min="11" max="13" width="11.7109375" style="5" bestFit="1" customWidth="1"/>
    <col min="14" max="16384" width="9.28515625" style="5"/>
  </cols>
  <sheetData>
    <row r="1" spans="2:12" ht="15" x14ac:dyDescent="0.2">
      <c r="B1" s="24"/>
    </row>
    <row r="2" spans="2:12" ht="15" x14ac:dyDescent="0.2">
      <c r="E2" s="32" t="s">
        <v>303</v>
      </c>
    </row>
    <row r="3" spans="2:12" ht="15" x14ac:dyDescent="0.2">
      <c r="E3" s="32" t="str">
        <f>'F1'!$F$3</f>
        <v>Nagarjuna Sagar HES</v>
      </c>
    </row>
    <row r="4" spans="2:12" ht="15" x14ac:dyDescent="0.2">
      <c r="E4" s="35" t="s">
        <v>251</v>
      </c>
    </row>
    <row r="5" spans="2:12" ht="15" x14ac:dyDescent="0.2">
      <c r="J5" s="26" t="s">
        <v>4</v>
      </c>
    </row>
    <row r="6" spans="2:12" s="13" customFormat="1" ht="15" customHeight="1" x14ac:dyDescent="0.2">
      <c r="B6" s="221" t="s">
        <v>169</v>
      </c>
      <c r="C6" s="224" t="s">
        <v>18</v>
      </c>
      <c r="D6" s="228" t="s">
        <v>304</v>
      </c>
      <c r="E6" s="229"/>
      <c r="F6" s="230"/>
      <c r="G6" s="228" t="s">
        <v>305</v>
      </c>
      <c r="H6" s="230"/>
      <c r="I6" s="228" t="s">
        <v>332</v>
      </c>
      <c r="J6" s="230"/>
    </row>
    <row r="7" spans="2:12" s="13" customFormat="1" ht="30" x14ac:dyDescent="0.2">
      <c r="B7" s="222"/>
      <c r="C7" s="224"/>
      <c r="D7" s="15" t="s">
        <v>276</v>
      </c>
      <c r="E7" s="15" t="s">
        <v>211</v>
      </c>
      <c r="F7" s="15" t="s">
        <v>182</v>
      </c>
      <c r="G7" s="15" t="s">
        <v>276</v>
      </c>
      <c r="H7" s="15" t="s">
        <v>210</v>
      </c>
      <c r="I7" s="15" t="s">
        <v>276</v>
      </c>
      <c r="J7" s="15" t="s">
        <v>200</v>
      </c>
    </row>
    <row r="8" spans="2:12" s="13" customFormat="1" ht="30" x14ac:dyDescent="0.2">
      <c r="B8" s="223"/>
      <c r="C8" s="225"/>
      <c r="D8" s="15" t="s">
        <v>10</v>
      </c>
      <c r="E8" s="15" t="s">
        <v>12</v>
      </c>
      <c r="F8" s="15" t="s">
        <v>202</v>
      </c>
      <c r="G8" s="15" t="s">
        <v>10</v>
      </c>
      <c r="H8" s="15" t="s">
        <v>328</v>
      </c>
      <c r="I8" s="15" t="s">
        <v>10</v>
      </c>
      <c r="J8" s="15" t="s">
        <v>328</v>
      </c>
    </row>
    <row r="9" spans="2:12" x14ac:dyDescent="0.2">
      <c r="B9" s="61">
        <v>1</v>
      </c>
      <c r="C9" s="27" t="s">
        <v>252</v>
      </c>
      <c r="D9" s="2"/>
      <c r="E9" s="101"/>
      <c r="F9" s="106"/>
      <c r="G9" s="111"/>
      <c r="H9" s="111"/>
      <c r="I9" s="111"/>
      <c r="J9" s="111"/>
    </row>
    <row r="10" spans="2:12" x14ac:dyDescent="0.2">
      <c r="B10" s="20">
        <f>B9+1</f>
        <v>2</v>
      </c>
      <c r="C10" s="27" t="s">
        <v>253</v>
      </c>
      <c r="D10" s="2"/>
      <c r="E10" s="101"/>
      <c r="F10" s="106"/>
      <c r="G10" s="111"/>
      <c r="H10" s="111"/>
      <c r="I10" s="111"/>
      <c r="J10" s="111"/>
    </row>
    <row r="11" spans="2:12" x14ac:dyDescent="0.2">
      <c r="B11" s="20">
        <f t="shared" ref="B11:B19" si="0">B10+1</f>
        <v>3</v>
      </c>
      <c r="C11" s="29" t="s">
        <v>254</v>
      </c>
      <c r="D11" s="2"/>
      <c r="E11" s="101"/>
      <c r="F11" s="106"/>
      <c r="G11" s="111"/>
      <c r="H11" s="111"/>
      <c r="I11" s="111"/>
      <c r="J11" s="111"/>
    </row>
    <row r="12" spans="2:12" x14ac:dyDescent="0.2">
      <c r="B12" s="20">
        <f t="shared" si="0"/>
        <v>4</v>
      </c>
      <c r="C12" s="66" t="s">
        <v>255</v>
      </c>
      <c r="D12" s="100"/>
      <c r="E12" s="100">
        <f>'F2'!F14/12</f>
        <v>15.659166666666666</v>
      </c>
      <c r="F12" s="121">
        <f>'F2'!G14/12</f>
        <v>15.659166666666666</v>
      </c>
      <c r="G12" s="121"/>
      <c r="H12" s="121">
        <f>'F2'!I14/12</f>
        <v>16.613333333333333</v>
      </c>
      <c r="I12" s="121"/>
      <c r="J12" s="121">
        <f>'F2'!K14/12</f>
        <v>17.311666666666667</v>
      </c>
    </row>
    <row r="13" spans="2:12" s="32" customFormat="1" ht="15" x14ac:dyDescent="0.2">
      <c r="B13" s="20">
        <f t="shared" si="0"/>
        <v>5</v>
      </c>
      <c r="C13" s="37" t="s">
        <v>256</v>
      </c>
      <c r="D13" s="67"/>
      <c r="E13" s="106">
        <f>'F4'!F21*1%</f>
        <v>19.2346</v>
      </c>
      <c r="F13" s="106">
        <f>E13</f>
        <v>19.2346</v>
      </c>
      <c r="G13" s="106"/>
      <c r="H13" s="106">
        <f>'F4'!F37*1%</f>
        <v>19.258299999999998</v>
      </c>
      <c r="I13" s="106"/>
      <c r="J13" s="106">
        <f>'F4'!F37*1%</f>
        <v>19.258299999999998</v>
      </c>
    </row>
    <row r="14" spans="2:12" x14ac:dyDescent="0.2">
      <c r="B14" s="20">
        <f t="shared" si="0"/>
        <v>6</v>
      </c>
      <c r="C14" s="66" t="s">
        <v>297</v>
      </c>
      <c r="D14" s="100"/>
      <c r="E14" s="100">
        <f ca="1">'F1'!G16*45/365</f>
        <v>47.688904109589046</v>
      </c>
      <c r="F14" s="100">
        <f ca="1">'F1'!H16*45/365</f>
        <v>47.688904109589046</v>
      </c>
      <c r="G14" s="100"/>
      <c r="H14" s="100">
        <f ca="1">'F1'!J16*45/365</f>
        <v>48.60246575342466</v>
      </c>
      <c r="I14" s="100"/>
      <c r="J14" s="100">
        <f ca="1">'F1'!L16*45/365</f>
        <v>49.46671232876713</v>
      </c>
      <c r="K14" s="138"/>
    </row>
    <row r="15" spans="2:12" x14ac:dyDescent="0.2">
      <c r="B15" s="20"/>
      <c r="C15" s="66" t="s">
        <v>257</v>
      </c>
      <c r="D15" s="67"/>
      <c r="E15" s="29"/>
      <c r="F15" s="3"/>
      <c r="G15" s="29"/>
      <c r="H15" s="29"/>
      <c r="I15" s="29"/>
      <c r="J15" s="29"/>
    </row>
    <row r="16" spans="2:12" x14ac:dyDescent="0.2">
      <c r="B16" s="20">
        <f>B14+1</f>
        <v>7</v>
      </c>
      <c r="C16" s="27" t="s">
        <v>298</v>
      </c>
      <c r="D16" s="100"/>
      <c r="E16" s="100"/>
      <c r="F16" s="100"/>
      <c r="G16" s="100"/>
      <c r="H16" s="100"/>
      <c r="I16" s="100"/>
      <c r="J16" s="100"/>
      <c r="L16" s="138"/>
    </row>
    <row r="17" spans="2:10" ht="15" x14ac:dyDescent="0.2">
      <c r="B17" s="20">
        <f t="shared" si="0"/>
        <v>8</v>
      </c>
      <c r="C17" s="27" t="s">
        <v>44</v>
      </c>
      <c r="D17" s="98">
        <f>SUM(D9:D14)-D16</f>
        <v>0</v>
      </c>
      <c r="E17" s="98">
        <f t="shared" ref="E17:J17" ca="1" si="1">SUM(E9:E14)-E16</f>
        <v>82.582670776255711</v>
      </c>
      <c r="F17" s="98">
        <f t="shared" ca="1" si="1"/>
        <v>82.582670776255711</v>
      </c>
      <c r="G17" s="98">
        <f t="shared" si="1"/>
        <v>0</v>
      </c>
      <c r="H17" s="98">
        <f t="shared" ca="1" si="1"/>
        <v>84.474099086758002</v>
      </c>
      <c r="I17" s="98">
        <f t="shared" si="1"/>
        <v>0</v>
      </c>
      <c r="J17" s="98">
        <f t="shared" ca="1" si="1"/>
        <v>86.036678995433789</v>
      </c>
    </row>
    <row r="18" spans="2:10" x14ac:dyDescent="0.2">
      <c r="B18" s="20">
        <f t="shared" si="0"/>
        <v>9</v>
      </c>
      <c r="C18" s="27" t="s">
        <v>258</v>
      </c>
      <c r="D18" s="99"/>
      <c r="E18" s="99">
        <v>0.1041</v>
      </c>
      <c r="F18" s="99">
        <f>E18</f>
        <v>0.1041</v>
      </c>
      <c r="G18" s="99">
        <v>0.10249999999999999</v>
      </c>
      <c r="H18" s="99">
        <v>0.10249999999999999</v>
      </c>
      <c r="I18" s="99"/>
      <c r="J18" s="99">
        <v>0.10249999999999999</v>
      </c>
    </row>
    <row r="19" spans="2:10" ht="15" x14ac:dyDescent="0.2">
      <c r="B19" s="20">
        <f t="shared" si="0"/>
        <v>10</v>
      </c>
      <c r="C19" s="66" t="s">
        <v>259</v>
      </c>
      <c r="D19" s="98">
        <v>6.5</v>
      </c>
      <c r="E19" s="98">
        <f ca="1">ROUND(E17*E18,2)</f>
        <v>8.6</v>
      </c>
      <c r="F19" s="98">
        <f ca="1">ROUND(F17*F18,2)</f>
        <v>8.6</v>
      </c>
      <c r="G19" s="98">
        <v>7.03</v>
      </c>
      <c r="H19" s="98">
        <f ca="1">ROUND(H17*H18,2)</f>
        <v>8.66</v>
      </c>
      <c r="I19" s="98">
        <v>7.18</v>
      </c>
      <c r="J19" s="98">
        <f ca="1">ROUND(J17*J18,2)</f>
        <v>8.82</v>
      </c>
    </row>
    <row r="20" spans="2:10" x14ac:dyDescent="0.2">
      <c r="D20" s="129"/>
    </row>
    <row r="21" spans="2:10" x14ac:dyDescent="0.2">
      <c r="C21" s="5" t="s">
        <v>213</v>
      </c>
    </row>
    <row r="22" spans="2:10" x14ac:dyDescent="0.2">
      <c r="C22" s="5" t="s">
        <v>299</v>
      </c>
    </row>
  </sheetData>
  <mergeCells count="5">
    <mergeCell ref="G6:H6"/>
    <mergeCell ref="I6:J6"/>
    <mergeCell ref="B6:B8"/>
    <mergeCell ref="C6:C8"/>
    <mergeCell ref="D6:F6"/>
  </mergeCells>
  <pageMargins left="0.27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showGridLines="0" topLeftCell="A5" zoomScale="96" zoomScaleNormal="96" zoomScaleSheetLayoutView="90" zoomScalePageLayoutView="84" workbookViewId="0">
      <selection activeCell="K15" sqref="K15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54.140625" style="5" customWidth="1"/>
    <col min="4" max="4" width="12.42578125" style="5" customWidth="1"/>
    <col min="5" max="5" width="11" style="5" customWidth="1"/>
    <col min="6" max="6" width="14.28515625" style="5" customWidth="1"/>
    <col min="7" max="9" width="12.140625" style="5" customWidth="1"/>
    <col min="10" max="10" width="11.28515625" style="5" customWidth="1"/>
    <col min="11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4.25" customHeight="1" x14ac:dyDescent="0.2">
      <c r="B2" s="231" t="s">
        <v>303</v>
      </c>
      <c r="C2" s="231"/>
      <c r="D2" s="231"/>
      <c r="E2" s="231"/>
      <c r="F2" s="231"/>
      <c r="G2" s="231"/>
      <c r="H2" s="231"/>
      <c r="I2" s="231"/>
      <c r="J2" s="231"/>
    </row>
    <row r="3" spans="2:10" ht="14.25" customHeight="1" x14ac:dyDescent="0.2">
      <c r="B3" s="231" t="str">
        <f>'F1'!$F$3</f>
        <v>Nagarjuna Sagar HES</v>
      </c>
      <c r="C3" s="231"/>
      <c r="D3" s="231"/>
      <c r="E3" s="231"/>
      <c r="F3" s="231"/>
      <c r="G3" s="231"/>
      <c r="H3" s="231"/>
      <c r="I3" s="231"/>
      <c r="J3" s="231"/>
    </row>
    <row r="4" spans="2:10" ht="14.25" customHeight="1" x14ac:dyDescent="0.2">
      <c r="B4" s="231" t="s">
        <v>260</v>
      </c>
      <c r="C4" s="231"/>
      <c r="D4" s="231"/>
      <c r="E4" s="231"/>
      <c r="F4" s="231"/>
      <c r="G4" s="231"/>
      <c r="H4" s="231"/>
      <c r="I4" s="231"/>
      <c r="J4" s="231"/>
    </row>
    <row r="5" spans="2:10" ht="15" x14ac:dyDescent="0.2">
      <c r="J5" s="26" t="s">
        <v>4</v>
      </c>
    </row>
    <row r="6" spans="2:10" s="13" customFormat="1" ht="15" customHeight="1" x14ac:dyDescent="0.2">
      <c r="B6" s="221" t="s">
        <v>169</v>
      </c>
      <c r="C6" s="224" t="s">
        <v>18</v>
      </c>
      <c r="D6" s="228" t="s">
        <v>304</v>
      </c>
      <c r="E6" s="229"/>
      <c r="F6" s="230"/>
      <c r="G6" s="228" t="s">
        <v>305</v>
      </c>
      <c r="H6" s="230"/>
      <c r="I6" s="228" t="s">
        <v>332</v>
      </c>
      <c r="J6" s="230"/>
    </row>
    <row r="7" spans="2:10" s="13" customFormat="1" ht="30" x14ac:dyDescent="0.2">
      <c r="B7" s="222"/>
      <c r="C7" s="224"/>
      <c r="D7" s="15" t="s">
        <v>276</v>
      </c>
      <c r="E7" s="15" t="s">
        <v>211</v>
      </c>
      <c r="F7" s="15" t="s">
        <v>182</v>
      </c>
      <c r="G7" s="15" t="s">
        <v>276</v>
      </c>
      <c r="H7" s="15" t="s">
        <v>210</v>
      </c>
      <c r="I7" s="15" t="s">
        <v>276</v>
      </c>
      <c r="J7" s="15" t="s">
        <v>210</v>
      </c>
    </row>
    <row r="8" spans="2:10" s="13" customFormat="1" ht="30" x14ac:dyDescent="0.2">
      <c r="B8" s="223"/>
      <c r="C8" s="225"/>
      <c r="D8" s="15" t="s">
        <v>10</v>
      </c>
      <c r="E8" s="15" t="s">
        <v>12</v>
      </c>
      <c r="F8" s="15" t="s">
        <v>202</v>
      </c>
      <c r="G8" s="15" t="s">
        <v>10</v>
      </c>
      <c r="H8" s="15" t="s">
        <v>328</v>
      </c>
      <c r="I8" s="15" t="s">
        <v>10</v>
      </c>
      <c r="J8" s="15" t="s">
        <v>328</v>
      </c>
    </row>
    <row r="9" spans="2:10" x14ac:dyDescent="0.2">
      <c r="B9" s="61">
        <v>1</v>
      </c>
      <c r="C9" s="27" t="s">
        <v>195</v>
      </c>
      <c r="D9" s="108"/>
      <c r="E9" s="106">
        <f>'F4'!F21*30%</f>
        <v>577.03800000000001</v>
      </c>
      <c r="F9" s="106">
        <f>E9</f>
        <v>577.03800000000001</v>
      </c>
      <c r="G9" s="110"/>
      <c r="H9" s="111">
        <f>E13</f>
        <v>577.63300000000004</v>
      </c>
      <c r="I9" s="110"/>
      <c r="J9" s="111">
        <f>H13</f>
        <v>577.63300000000004</v>
      </c>
    </row>
    <row r="10" spans="2:10" x14ac:dyDescent="0.2">
      <c r="B10" s="20">
        <f>B9+1</f>
        <v>2</v>
      </c>
      <c r="C10" s="27" t="s">
        <v>196</v>
      </c>
      <c r="D10" s="108"/>
      <c r="E10" s="106">
        <f>'F3'!E12</f>
        <v>2.38</v>
      </c>
      <c r="F10" s="106">
        <f>'F3'!F12</f>
        <v>2.38</v>
      </c>
      <c r="G10" s="106">
        <f>'F3'!G12</f>
        <v>0</v>
      </c>
      <c r="H10" s="106">
        <f>'F3'!H12</f>
        <v>0</v>
      </c>
      <c r="I10" s="106">
        <f>'F3'!I12</f>
        <v>0</v>
      </c>
      <c r="J10" s="106">
        <f>'F3'!J12</f>
        <v>0</v>
      </c>
    </row>
    <row r="11" spans="2:10" x14ac:dyDescent="0.2">
      <c r="B11" s="20">
        <f t="shared" ref="B11:B21" si="0">B10+1</f>
        <v>3</v>
      </c>
      <c r="C11" s="29" t="s">
        <v>19</v>
      </c>
      <c r="D11" s="109">
        <f>D10*25%</f>
        <v>0</v>
      </c>
      <c r="E11" s="109">
        <f>E10*25%</f>
        <v>0.59499999999999997</v>
      </c>
      <c r="F11" s="109">
        <f t="shared" ref="F11:J11" si="1">F10*25%</f>
        <v>0.59499999999999997</v>
      </c>
      <c r="G11" s="109">
        <f t="shared" si="1"/>
        <v>0</v>
      </c>
      <c r="H11" s="109">
        <f t="shared" si="1"/>
        <v>0</v>
      </c>
      <c r="I11" s="109">
        <f t="shared" si="1"/>
        <v>0</v>
      </c>
      <c r="J11" s="109">
        <f t="shared" si="1"/>
        <v>0</v>
      </c>
    </row>
    <row r="12" spans="2:10" ht="28.5" x14ac:dyDescent="0.2">
      <c r="B12" s="20">
        <f t="shared" si="0"/>
        <v>4</v>
      </c>
      <c r="C12" s="66" t="s">
        <v>20</v>
      </c>
      <c r="D12" s="112"/>
      <c r="E12" s="39"/>
      <c r="F12" s="108"/>
      <c r="G12" s="39"/>
      <c r="H12" s="39"/>
      <c r="I12" s="39"/>
      <c r="J12" s="39"/>
    </row>
    <row r="13" spans="2:10" s="32" customFormat="1" ht="15" x14ac:dyDescent="0.2">
      <c r="B13" s="20">
        <f t="shared" si="0"/>
        <v>5</v>
      </c>
      <c r="C13" s="37" t="s">
        <v>21</v>
      </c>
      <c r="D13" s="113">
        <f>D9+D11-D12</f>
        <v>0</v>
      </c>
      <c r="E13" s="113">
        <f t="shared" ref="E13:J13" si="2">E9+E11-E12</f>
        <v>577.63300000000004</v>
      </c>
      <c r="F13" s="113">
        <f>F9+F11-F12</f>
        <v>577.63300000000004</v>
      </c>
      <c r="G13" s="113">
        <f t="shared" si="2"/>
        <v>0</v>
      </c>
      <c r="H13" s="113">
        <f t="shared" si="2"/>
        <v>577.63300000000004</v>
      </c>
      <c r="I13" s="113"/>
      <c r="J13" s="113">
        <f t="shared" si="2"/>
        <v>577.63300000000004</v>
      </c>
    </row>
    <row r="14" spans="2:10" s="32" customFormat="1" ht="15" x14ac:dyDescent="0.2">
      <c r="B14" s="20"/>
      <c r="C14" s="68" t="s">
        <v>261</v>
      </c>
      <c r="D14" s="67"/>
      <c r="E14" s="29"/>
      <c r="F14" s="3"/>
      <c r="G14" s="29"/>
      <c r="H14" s="29"/>
      <c r="I14" s="29"/>
      <c r="J14" s="29"/>
    </row>
    <row r="15" spans="2:10" s="32" customFormat="1" ht="15" x14ac:dyDescent="0.2">
      <c r="B15" s="20">
        <f>B13+1</f>
        <v>6</v>
      </c>
      <c r="C15" s="37" t="s">
        <v>262</v>
      </c>
      <c r="D15" s="144">
        <v>0.125</v>
      </c>
      <c r="E15" s="144">
        <v>0.16500000000000001</v>
      </c>
      <c r="F15" s="144">
        <v>0.16500000000000001</v>
      </c>
      <c r="G15" s="144">
        <v>0.16500000000000001</v>
      </c>
      <c r="H15" s="144">
        <v>0.16500000000000001</v>
      </c>
      <c r="I15" s="144">
        <v>0.16500000000000001</v>
      </c>
      <c r="J15" s="144">
        <v>0.16500000000000001</v>
      </c>
    </row>
    <row r="16" spans="2:10" s="32" customFormat="1" ht="15" x14ac:dyDescent="0.2">
      <c r="B16" s="20">
        <f>B15+1</f>
        <v>7</v>
      </c>
      <c r="C16" s="37" t="s">
        <v>263</v>
      </c>
      <c r="D16" s="145">
        <v>0.25168000000000001</v>
      </c>
      <c r="E16" s="145">
        <v>0.25168000000000001</v>
      </c>
      <c r="F16" s="145">
        <v>0.25168000000000001</v>
      </c>
      <c r="G16" s="145">
        <v>0.25168000000000001</v>
      </c>
      <c r="H16" s="145">
        <v>0.25168000000000001</v>
      </c>
      <c r="I16" s="145">
        <v>0.25168000000000001</v>
      </c>
      <c r="J16" s="145">
        <v>0.25168000000000001</v>
      </c>
    </row>
    <row r="17" spans="2:10" s="32" customFormat="1" ht="15" x14ac:dyDescent="0.2">
      <c r="B17" s="20">
        <f>B16+1</f>
        <v>8</v>
      </c>
      <c r="C17" s="30" t="s">
        <v>261</v>
      </c>
      <c r="D17" s="146">
        <f>D15/(1-D16)</f>
        <v>0.16704083814410947</v>
      </c>
      <c r="E17" s="146">
        <f t="shared" ref="E17:J17" si="3">E15/(1-E16)</f>
        <v>0.22049390635022451</v>
      </c>
      <c r="F17" s="146">
        <f t="shared" si="3"/>
        <v>0.22049390635022451</v>
      </c>
      <c r="G17" s="146">
        <f t="shared" si="3"/>
        <v>0.22049390635022451</v>
      </c>
      <c r="H17" s="146">
        <f t="shared" si="3"/>
        <v>0.22049390635022451</v>
      </c>
      <c r="I17" s="146">
        <f t="shared" si="3"/>
        <v>0.22049390635022451</v>
      </c>
      <c r="J17" s="146">
        <f t="shared" si="3"/>
        <v>0.22049390635022451</v>
      </c>
    </row>
    <row r="18" spans="2:10" ht="15" x14ac:dyDescent="0.2">
      <c r="B18" s="20"/>
      <c r="C18" s="68" t="s">
        <v>159</v>
      </c>
      <c r="D18" s="97"/>
      <c r="E18" s="29"/>
      <c r="F18" s="3"/>
      <c r="G18" s="29"/>
      <c r="H18" s="29"/>
      <c r="I18" s="29"/>
      <c r="J18" s="29"/>
    </row>
    <row r="19" spans="2:10" ht="17.25" customHeight="1" x14ac:dyDescent="0.2">
      <c r="B19" s="20">
        <f>B17+1</f>
        <v>9</v>
      </c>
      <c r="C19" s="66" t="s">
        <v>197</v>
      </c>
      <c r="D19" s="98">
        <f>D9*D17</f>
        <v>0</v>
      </c>
      <c r="E19" s="98">
        <f t="shared" ref="E19:J19" si="4">E9*E17</f>
        <v>127.23336273252085</v>
      </c>
      <c r="F19" s="98">
        <f t="shared" si="4"/>
        <v>127.23336273252085</v>
      </c>
      <c r="G19" s="98">
        <f t="shared" si="4"/>
        <v>0</v>
      </c>
      <c r="H19" s="98">
        <f t="shared" si="4"/>
        <v>127.36455660679924</v>
      </c>
      <c r="I19" s="98"/>
      <c r="J19" s="98">
        <f t="shared" si="4"/>
        <v>127.36455660679924</v>
      </c>
    </row>
    <row r="20" spans="2:10" ht="18.75" customHeight="1" x14ac:dyDescent="0.2">
      <c r="B20" s="20">
        <f t="shared" si="0"/>
        <v>10</v>
      </c>
      <c r="C20" s="66" t="s">
        <v>198</v>
      </c>
      <c r="D20" s="98">
        <f>AVERAGE(D9,D13)*D17-D19</f>
        <v>0</v>
      </c>
      <c r="E20" s="98">
        <f t="shared" ref="E20:J20" si="5">AVERAGE(E9,E13)*E17-E19</f>
        <v>6.559693713920467E-2</v>
      </c>
      <c r="F20" s="98">
        <f t="shared" si="5"/>
        <v>6.559693713920467E-2</v>
      </c>
      <c r="G20" s="98">
        <f t="shared" si="5"/>
        <v>0</v>
      </c>
      <c r="H20" s="98">
        <f t="shared" si="5"/>
        <v>0</v>
      </c>
      <c r="I20" s="98"/>
      <c r="J20" s="98">
        <f t="shared" si="5"/>
        <v>0</v>
      </c>
    </row>
    <row r="21" spans="2:10" ht="15" x14ac:dyDescent="0.2">
      <c r="B21" s="20">
        <f t="shared" si="0"/>
        <v>11</v>
      </c>
      <c r="C21" s="38" t="s">
        <v>160</v>
      </c>
      <c r="D21" s="98">
        <v>73.069999999999993</v>
      </c>
      <c r="E21" s="98">
        <f>ROUND((E19+E20),2)</f>
        <v>127.3</v>
      </c>
      <c r="F21" s="98">
        <f>ROUND((F19+F20),2)</f>
        <v>127.3</v>
      </c>
      <c r="G21" s="98">
        <v>97.82</v>
      </c>
      <c r="H21" s="98">
        <f>ROUND((H19+H20),2)</f>
        <v>127.36</v>
      </c>
      <c r="I21" s="98">
        <v>97.82</v>
      </c>
      <c r="J21" s="98">
        <f>ROUND((J19+J20),2)</f>
        <v>127.36</v>
      </c>
    </row>
    <row r="22" spans="2:10" x14ac:dyDescent="0.2">
      <c r="C22" s="5" t="s">
        <v>213</v>
      </c>
    </row>
    <row r="23" spans="2:10" x14ac:dyDescent="0.2">
      <c r="C23" s="5" t="s">
        <v>301</v>
      </c>
    </row>
  </sheetData>
  <mergeCells count="8">
    <mergeCell ref="B3:J3"/>
    <mergeCell ref="B2:J2"/>
    <mergeCell ref="B4:J4"/>
    <mergeCell ref="I6:J6"/>
    <mergeCell ref="B6:B8"/>
    <mergeCell ref="C6:C8"/>
    <mergeCell ref="D6:F6"/>
    <mergeCell ref="G6:H6"/>
  </mergeCells>
  <pageMargins left="0.52" right="0.25" top="1" bottom="1" header="0.25" footer="0.25"/>
  <pageSetup paperSize="9" scale="9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9"/>
  <sheetViews>
    <sheetView showGridLines="0" view="pageBreakPreview" topLeftCell="A12" zoomScale="90" zoomScaleNormal="112" zoomScaleSheetLayoutView="90" workbookViewId="0">
      <selection activeCell="J29" sqref="J29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0" width="11.28515625" style="5" customWidth="1"/>
    <col min="11" max="13" width="11.7109375" style="5" bestFit="1" customWidth="1"/>
    <col min="14" max="16384" width="9.28515625" style="5"/>
  </cols>
  <sheetData>
    <row r="2" spans="2:10" ht="15" x14ac:dyDescent="0.2">
      <c r="E2" s="32" t="s">
        <v>303</v>
      </c>
    </row>
    <row r="3" spans="2:10" ht="14.25" customHeight="1" x14ac:dyDescent="0.2">
      <c r="D3" s="231" t="str">
        <f>'F1'!$F$3</f>
        <v>Nagarjuna Sagar HES</v>
      </c>
      <c r="E3" s="231"/>
      <c r="F3" s="231"/>
    </row>
    <row r="4" spans="2:10" ht="15" x14ac:dyDescent="0.2">
      <c r="B4" s="33"/>
      <c r="C4" s="24"/>
      <c r="D4" s="25"/>
      <c r="E4" s="35" t="s">
        <v>264</v>
      </c>
      <c r="F4" s="25"/>
      <c r="G4" s="25"/>
      <c r="H4" s="25"/>
      <c r="I4" s="25"/>
      <c r="J4" s="25"/>
    </row>
    <row r="5" spans="2:10" ht="15" x14ac:dyDescent="0.2">
      <c r="J5" s="26" t="s">
        <v>4</v>
      </c>
    </row>
    <row r="6" spans="2:10" s="13" customFormat="1" ht="15" customHeight="1" x14ac:dyDescent="0.2">
      <c r="B6" s="221" t="s">
        <v>169</v>
      </c>
      <c r="C6" s="224" t="s">
        <v>18</v>
      </c>
      <c r="D6" s="228" t="s">
        <v>304</v>
      </c>
      <c r="E6" s="229"/>
      <c r="F6" s="230"/>
      <c r="G6" s="228" t="s">
        <v>305</v>
      </c>
      <c r="H6" s="230"/>
      <c r="I6" s="228" t="s">
        <v>332</v>
      </c>
      <c r="J6" s="230"/>
    </row>
    <row r="7" spans="2:10" s="13" customFormat="1" ht="30" x14ac:dyDescent="0.2">
      <c r="B7" s="222"/>
      <c r="C7" s="224"/>
      <c r="D7" s="15" t="s">
        <v>276</v>
      </c>
      <c r="E7" s="15" t="s">
        <v>211</v>
      </c>
      <c r="F7" s="15" t="s">
        <v>182</v>
      </c>
      <c r="G7" s="15" t="s">
        <v>276</v>
      </c>
      <c r="H7" s="15" t="s">
        <v>210</v>
      </c>
      <c r="I7" s="15" t="s">
        <v>276</v>
      </c>
      <c r="J7" s="15" t="s">
        <v>200</v>
      </c>
    </row>
    <row r="8" spans="2:10" s="13" customFormat="1" ht="15" x14ac:dyDescent="0.2">
      <c r="B8" s="223"/>
      <c r="C8" s="225"/>
      <c r="D8" s="15" t="s">
        <v>10</v>
      </c>
      <c r="E8" s="15" t="s">
        <v>12</v>
      </c>
      <c r="F8" s="15" t="s">
        <v>202</v>
      </c>
      <c r="G8" s="15" t="s">
        <v>10</v>
      </c>
      <c r="H8" s="15" t="s">
        <v>5</v>
      </c>
      <c r="I8" s="15" t="s">
        <v>10</v>
      </c>
      <c r="J8" s="15" t="s">
        <v>8</v>
      </c>
    </row>
    <row r="9" spans="2:10" s="13" customFormat="1" ht="15" x14ac:dyDescent="0.2">
      <c r="B9" s="61">
        <v>1</v>
      </c>
      <c r="C9" s="147" t="s">
        <v>316</v>
      </c>
      <c r="D9" s="130"/>
      <c r="E9" s="131">
        <v>0.11547857267820258</v>
      </c>
      <c r="F9" s="131">
        <v>0.11547857267820258</v>
      </c>
      <c r="G9" s="15"/>
      <c r="H9" s="149">
        <v>0.12009771558533068</v>
      </c>
      <c r="I9" s="149"/>
      <c r="J9" s="149">
        <v>0.12490162420874391</v>
      </c>
    </row>
    <row r="10" spans="2:10" s="13" customFormat="1" ht="15" x14ac:dyDescent="0.2">
      <c r="B10" s="61">
        <f>B9+1</f>
        <v>2</v>
      </c>
      <c r="C10" s="147" t="s">
        <v>315</v>
      </c>
      <c r="D10" s="130"/>
      <c r="E10" s="131">
        <v>1.6556011790460211E-3</v>
      </c>
      <c r="F10" s="131">
        <v>1.6556011790460211E-3</v>
      </c>
      <c r="G10" s="15"/>
      <c r="H10" s="149">
        <v>1.7218252262078621E-3</v>
      </c>
      <c r="I10" s="149"/>
      <c r="J10" s="149">
        <v>1.7906982352561766E-3</v>
      </c>
    </row>
    <row r="11" spans="2:10" s="13" customFormat="1" ht="15" x14ac:dyDescent="0.2">
      <c r="B11" s="61">
        <f>B10+1</f>
        <v>3</v>
      </c>
      <c r="C11" s="147" t="s">
        <v>314</v>
      </c>
      <c r="D11" s="130"/>
      <c r="E11" s="131">
        <v>3.8689995905582815E-2</v>
      </c>
      <c r="F11" s="131">
        <v>3.8689995905582815E-2</v>
      </c>
      <c r="G11" s="15"/>
      <c r="H11" s="149">
        <v>4.0237595741806131E-2</v>
      </c>
      <c r="I11" s="149"/>
      <c r="J11" s="149">
        <v>4.1847099571478377E-2</v>
      </c>
    </row>
    <row r="12" spans="2:10" s="13" customFormat="1" ht="15" x14ac:dyDescent="0.2">
      <c r="B12" s="148">
        <f t="shared" ref="B12:B27" si="0">B11+1</f>
        <v>4</v>
      </c>
      <c r="C12" s="147" t="s">
        <v>327</v>
      </c>
      <c r="D12" s="130"/>
      <c r="E12" s="131">
        <v>0</v>
      </c>
      <c r="F12" s="131">
        <v>0</v>
      </c>
      <c r="G12" s="15"/>
      <c r="H12" s="149">
        <v>0</v>
      </c>
      <c r="I12" s="149"/>
      <c r="J12" s="149">
        <v>0</v>
      </c>
    </row>
    <row r="13" spans="2:10" s="13" customFormat="1" ht="15" x14ac:dyDescent="0.2">
      <c r="B13" s="148">
        <f t="shared" si="0"/>
        <v>5</v>
      </c>
      <c r="C13" s="147" t="s">
        <v>324</v>
      </c>
      <c r="D13" s="131"/>
      <c r="E13" s="131">
        <v>1.1388123799508425E-2</v>
      </c>
      <c r="F13" s="131">
        <v>1.1388123799508425E-2</v>
      </c>
      <c r="G13" s="15"/>
      <c r="H13" s="149">
        <v>1.184364875148876E-2</v>
      </c>
      <c r="I13" s="149"/>
      <c r="J13" s="149">
        <v>1.2317394701548311E-2</v>
      </c>
    </row>
    <row r="14" spans="2:10" s="13" customFormat="1" ht="15" x14ac:dyDescent="0.2">
      <c r="B14" s="148">
        <f t="shared" si="0"/>
        <v>6</v>
      </c>
      <c r="C14" s="147" t="s">
        <v>310</v>
      </c>
      <c r="D14" s="131"/>
      <c r="E14" s="131">
        <v>0.12204561615914551</v>
      </c>
      <c r="F14" s="131">
        <v>0.12204561615914551</v>
      </c>
      <c r="G14" s="15"/>
      <c r="H14" s="149">
        <v>0.12692744080551133</v>
      </c>
      <c r="I14" s="149"/>
      <c r="J14" s="149">
        <v>0.13200453843773177</v>
      </c>
    </row>
    <row r="15" spans="2:10" s="13" customFormat="1" ht="15" x14ac:dyDescent="0.2">
      <c r="B15" s="148">
        <f t="shared" si="0"/>
        <v>7</v>
      </c>
      <c r="C15" s="147" t="s">
        <v>323</v>
      </c>
      <c r="D15" s="131"/>
      <c r="E15" s="131">
        <v>3.6305E-3</v>
      </c>
      <c r="F15" s="131">
        <v>3.6305E-3</v>
      </c>
      <c r="G15" s="15"/>
      <c r="H15" s="149">
        <v>3.7757200000000006E-3</v>
      </c>
      <c r="I15" s="149"/>
      <c r="J15" s="149">
        <v>3.926748800000001E-3</v>
      </c>
    </row>
    <row r="16" spans="2:10" s="13" customFormat="1" ht="15" x14ac:dyDescent="0.2">
      <c r="B16" s="148">
        <f t="shared" si="0"/>
        <v>8</v>
      </c>
      <c r="C16" s="147" t="s">
        <v>318</v>
      </c>
      <c r="D16" s="131"/>
      <c r="E16" s="131">
        <v>0.26752054399052622</v>
      </c>
      <c r="F16" s="131">
        <v>0.26752054399052622</v>
      </c>
      <c r="G16" s="15"/>
      <c r="H16" s="149">
        <v>0.27822136575014728</v>
      </c>
      <c r="I16" s="149"/>
      <c r="J16" s="149">
        <v>0.28935022038015318</v>
      </c>
    </row>
    <row r="17" spans="2:10" s="13" customFormat="1" ht="15" x14ac:dyDescent="0.2">
      <c r="B17" s="148">
        <f t="shared" si="0"/>
        <v>9</v>
      </c>
      <c r="C17" s="147" t="s">
        <v>311</v>
      </c>
      <c r="D17" s="131"/>
      <c r="E17" s="131">
        <v>0</v>
      </c>
      <c r="F17" s="131">
        <v>0</v>
      </c>
      <c r="G17" s="15"/>
      <c r="H17" s="149">
        <v>0</v>
      </c>
      <c r="I17" s="149"/>
      <c r="J17" s="149">
        <v>0</v>
      </c>
    </row>
    <row r="18" spans="2:10" s="13" customFormat="1" ht="15" x14ac:dyDescent="0.2">
      <c r="B18" s="148">
        <f t="shared" si="0"/>
        <v>10</v>
      </c>
      <c r="C18" s="147" t="s">
        <v>335</v>
      </c>
      <c r="D18" s="131"/>
      <c r="E18" s="131">
        <v>1.2159879999999999E-3</v>
      </c>
      <c r="F18" s="131">
        <v>1.2159879999999999E-3</v>
      </c>
      <c r="G18" s="15"/>
      <c r="H18" s="149">
        <v>1.26462752E-3</v>
      </c>
      <c r="I18" s="149"/>
      <c r="J18" s="149">
        <v>1.3152126208E-3</v>
      </c>
    </row>
    <row r="19" spans="2:10" s="13" customFormat="1" ht="15" x14ac:dyDescent="0.2">
      <c r="B19" s="148">
        <f t="shared" si="0"/>
        <v>11</v>
      </c>
      <c r="C19" s="147" t="s">
        <v>313</v>
      </c>
      <c r="D19" s="131"/>
      <c r="E19" s="131">
        <v>0.81887743899999998</v>
      </c>
      <c r="F19" s="131">
        <v>0.81887743899999998</v>
      </c>
      <c r="G19" s="15"/>
      <c r="H19" s="149">
        <v>0.85163253655999993</v>
      </c>
      <c r="I19" s="149"/>
      <c r="J19" s="149">
        <v>0.88569783802239999</v>
      </c>
    </row>
    <row r="20" spans="2:10" s="13" customFormat="1" ht="15" x14ac:dyDescent="0.2">
      <c r="B20" s="148">
        <f t="shared" si="0"/>
        <v>12</v>
      </c>
      <c r="C20" s="147" t="s">
        <v>312</v>
      </c>
      <c r="D20" s="131"/>
      <c r="E20" s="131">
        <v>0</v>
      </c>
      <c r="F20" s="131">
        <v>0</v>
      </c>
      <c r="G20" s="15"/>
      <c r="H20" s="149">
        <v>0</v>
      </c>
      <c r="I20" s="149"/>
      <c r="J20" s="149">
        <v>0</v>
      </c>
    </row>
    <row r="21" spans="2:10" x14ac:dyDescent="0.2">
      <c r="B21" s="148">
        <f t="shared" si="0"/>
        <v>13</v>
      </c>
      <c r="C21" s="147" t="s">
        <v>317</v>
      </c>
      <c r="D21" s="131"/>
      <c r="E21" s="131">
        <v>2.8487884420979269E-3</v>
      </c>
      <c r="F21" s="131">
        <v>2.8487884420979269E-3</v>
      </c>
      <c r="G21" s="21"/>
      <c r="H21" s="111">
        <v>2.962739979781844E-3</v>
      </c>
      <c r="I21" s="111"/>
      <c r="J21" s="111">
        <v>3.081249578973118E-3</v>
      </c>
    </row>
    <row r="22" spans="2:10" x14ac:dyDescent="0.2">
      <c r="B22" s="148">
        <f t="shared" si="0"/>
        <v>14</v>
      </c>
      <c r="C22" s="147" t="s">
        <v>321</v>
      </c>
      <c r="D22" s="131"/>
      <c r="E22" s="131">
        <v>7.5901464176609729E-2</v>
      </c>
      <c r="F22" s="131">
        <v>7.5901464176609729E-2</v>
      </c>
      <c r="G22" s="21"/>
      <c r="H22" s="111">
        <v>7.8937522743674132E-2</v>
      </c>
      <c r="I22" s="111"/>
      <c r="J22" s="111">
        <v>8.2095023653421098E-2</v>
      </c>
    </row>
    <row r="23" spans="2:10" x14ac:dyDescent="0.2">
      <c r="B23" s="148">
        <f t="shared" si="0"/>
        <v>15</v>
      </c>
      <c r="C23" s="147" t="s">
        <v>325</v>
      </c>
      <c r="D23" s="131"/>
      <c r="E23" s="131">
        <v>0.12962062348266684</v>
      </c>
      <c r="F23" s="131">
        <v>0.12962062348266684</v>
      </c>
      <c r="G23" s="21"/>
      <c r="H23" s="111">
        <v>0.13480544842197351</v>
      </c>
      <c r="I23" s="111"/>
      <c r="J23" s="111">
        <v>0.14019766635885245</v>
      </c>
    </row>
    <row r="24" spans="2:10" x14ac:dyDescent="0.2">
      <c r="B24" s="148">
        <f t="shared" si="0"/>
        <v>16</v>
      </c>
      <c r="C24" s="147" t="s">
        <v>326</v>
      </c>
      <c r="D24" s="131"/>
      <c r="E24" s="131">
        <v>7.155734696835594E-3</v>
      </c>
      <c r="F24" s="131">
        <v>7.155734696835594E-3</v>
      </c>
      <c r="G24" s="21"/>
      <c r="H24" s="111">
        <v>7.4419640847090181E-3</v>
      </c>
      <c r="I24" s="111"/>
      <c r="J24" s="111">
        <v>7.7396426480973793E-3</v>
      </c>
    </row>
    <row r="25" spans="2:10" ht="15.75" customHeight="1" x14ac:dyDescent="0.2">
      <c r="B25" s="148">
        <f t="shared" si="0"/>
        <v>17</v>
      </c>
      <c r="C25" s="147" t="s">
        <v>322</v>
      </c>
      <c r="D25" s="132">
        <f>SUM(D9:D20)</f>
        <v>0</v>
      </c>
      <c r="E25" s="131">
        <v>4.4983606780514586E-3</v>
      </c>
      <c r="F25" s="131">
        <v>4.4983606780514586E-3</v>
      </c>
      <c r="G25" s="29"/>
      <c r="H25" s="106">
        <v>4.6782951051735182E-3</v>
      </c>
      <c r="I25" s="106"/>
      <c r="J25" s="106">
        <v>4.8654269093804589E-3</v>
      </c>
    </row>
    <row r="26" spans="2:10" s="32" customFormat="1" ht="15" x14ac:dyDescent="0.2">
      <c r="B26" s="148">
        <f t="shared" si="0"/>
        <v>18</v>
      </c>
      <c r="C26" s="147" t="s">
        <v>320</v>
      </c>
      <c r="D26" s="132"/>
      <c r="E26" s="131">
        <v>2.8421565611864438E-4</v>
      </c>
      <c r="F26" s="131">
        <v>2.8421565611864438E-4</v>
      </c>
      <c r="G26" s="29"/>
      <c r="H26" s="106">
        <v>2.2008411595058949E-2</v>
      </c>
      <c r="I26" s="106"/>
      <c r="J26" s="106">
        <v>2.2888748058861309E-2</v>
      </c>
    </row>
    <row r="27" spans="2:10" s="32" customFormat="1" ht="15" x14ac:dyDescent="0.2">
      <c r="B27" s="148">
        <f t="shared" si="0"/>
        <v>19</v>
      </c>
      <c r="C27" s="147" t="s">
        <v>319</v>
      </c>
      <c r="D27" s="132"/>
      <c r="E27" s="131">
        <v>3.7499999999999999E-3</v>
      </c>
      <c r="F27" s="131">
        <v>3.7499999999999999E-3</v>
      </c>
      <c r="G27" s="29"/>
      <c r="H27" s="106">
        <v>3.9000000000000003E-3</v>
      </c>
      <c r="I27" s="106"/>
      <c r="J27" s="106">
        <v>4.0560000000000006E-3</v>
      </c>
    </row>
    <row r="28" spans="2:10" x14ac:dyDescent="0.2">
      <c r="B28" s="20"/>
      <c r="C28" s="66"/>
      <c r="D28" s="67"/>
      <c r="E28" s="29"/>
      <c r="F28" s="29"/>
      <c r="G28" s="39"/>
      <c r="H28" s="39"/>
      <c r="I28" s="39"/>
      <c r="J28" s="39"/>
    </row>
    <row r="29" spans="2:10" ht="15" x14ac:dyDescent="0.2">
      <c r="B29" s="20"/>
      <c r="C29" s="31" t="s">
        <v>127</v>
      </c>
      <c r="D29" s="98">
        <v>1</v>
      </c>
      <c r="E29" s="98">
        <f>ROUND(SUM(E9:E27),2)</f>
        <v>1.6</v>
      </c>
      <c r="F29" s="98">
        <f>E29</f>
        <v>1.6</v>
      </c>
      <c r="G29" s="98">
        <v>1.04</v>
      </c>
      <c r="H29" s="98">
        <f>ROUND(SUM(H9:H27),2)</f>
        <v>1.69</v>
      </c>
      <c r="I29" s="98">
        <v>1.08</v>
      </c>
      <c r="J29" s="98">
        <f>ROUND(SUM(J9:J27),2)</f>
        <v>1.76</v>
      </c>
    </row>
  </sheetData>
  <mergeCells count="6">
    <mergeCell ref="D3:F3"/>
    <mergeCell ref="I6:J6"/>
    <mergeCell ref="B6:B8"/>
    <mergeCell ref="C6:C8"/>
    <mergeCell ref="D6:F6"/>
    <mergeCell ref="G6:H6"/>
  </mergeCells>
  <pageMargins left="0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1"/>
  <sheetViews>
    <sheetView showGridLines="0" view="pageBreakPreview" zoomScaleNormal="93" zoomScaleSheetLayoutView="100" workbookViewId="0">
      <selection activeCell="D3" sqref="D3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6" width="15.7109375" style="5" customWidth="1"/>
    <col min="7" max="16384" width="9.28515625" style="5"/>
  </cols>
  <sheetData>
    <row r="2" spans="2:6" ht="15" x14ac:dyDescent="0.2">
      <c r="B2" s="231" t="s">
        <v>303</v>
      </c>
      <c r="C2" s="231"/>
      <c r="D2" s="231"/>
      <c r="E2" s="231"/>
      <c r="F2" s="231"/>
    </row>
    <row r="3" spans="2:6" ht="15" x14ac:dyDescent="0.2">
      <c r="B3" s="35"/>
      <c r="C3" s="35"/>
      <c r="D3" s="35" t="str">
        <f>'F1'!$F$3</f>
        <v>Nagarjuna Sagar HES</v>
      </c>
      <c r="E3" s="35"/>
      <c r="F3" s="35"/>
    </row>
    <row r="4" spans="2:6" ht="14.25" customHeight="1" x14ac:dyDescent="0.2">
      <c r="B4" s="231" t="s">
        <v>266</v>
      </c>
      <c r="C4" s="231"/>
      <c r="D4" s="231"/>
      <c r="E4" s="231"/>
      <c r="F4" s="231"/>
    </row>
    <row r="5" spans="2:6" ht="15" x14ac:dyDescent="0.2">
      <c r="B5" s="24"/>
      <c r="C5" s="70"/>
      <c r="D5" s="71"/>
    </row>
    <row r="6" spans="2:6" ht="15" customHeight="1" x14ac:dyDescent="0.2">
      <c r="B6" s="233" t="s">
        <v>2</v>
      </c>
      <c r="C6" s="238" t="s">
        <v>18</v>
      </c>
      <c r="D6" s="116" t="s">
        <v>304</v>
      </c>
      <c r="E6" s="23" t="s">
        <v>305</v>
      </c>
      <c r="F6" s="23" t="s">
        <v>332</v>
      </c>
    </row>
    <row r="7" spans="2:6" ht="15" x14ac:dyDescent="0.2">
      <c r="B7" s="233"/>
      <c r="C7" s="238"/>
      <c r="D7" s="15" t="s">
        <v>265</v>
      </c>
      <c r="E7" s="15" t="s">
        <v>210</v>
      </c>
      <c r="F7" s="15" t="s">
        <v>210</v>
      </c>
    </row>
    <row r="8" spans="2:6" ht="24.75" customHeight="1" x14ac:dyDescent="0.2">
      <c r="B8" s="244"/>
      <c r="C8" s="245"/>
      <c r="D8" s="15" t="s">
        <v>3</v>
      </c>
      <c r="E8" s="15" t="s">
        <v>5</v>
      </c>
      <c r="F8" s="15" t="s">
        <v>8</v>
      </c>
    </row>
    <row r="9" spans="2:6" ht="15" x14ac:dyDescent="0.2">
      <c r="B9" s="72">
        <v>1</v>
      </c>
      <c r="C9" s="73" t="s">
        <v>146</v>
      </c>
      <c r="D9" s="69"/>
      <c r="E9" s="69"/>
      <c r="F9" s="27"/>
    </row>
    <row r="10" spans="2:6" s="32" customFormat="1" ht="15" x14ac:dyDescent="0.2">
      <c r="B10" s="74" t="s">
        <v>45</v>
      </c>
      <c r="C10" s="38" t="s">
        <v>46</v>
      </c>
      <c r="D10" s="75"/>
      <c r="E10" s="38"/>
      <c r="F10" s="38"/>
    </row>
    <row r="11" spans="2:6" s="32" customFormat="1" ht="15" x14ac:dyDescent="0.2">
      <c r="B11" s="76"/>
      <c r="C11" s="29" t="s">
        <v>47</v>
      </c>
      <c r="D11" s="75"/>
      <c r="E11" s="38"/>
      <c r="F11" s="38"/>
    </row>
    <row r="12" spans="2:6" s="32" customFormat="1" ht="15" x14ac:dyDescent="0.2">
      <c r="B12" s="76"/>
      <c r="C12" s="29" t="s">
        <v>48</v>
      </c>
      <c r="D12" s="75"/>
      <c r="E12" s="38"/>
      <c r="F12" s="38"/>
    </row>
    <row r="13" spans="2:6" s="32" customFormat="1" ht="15" x14ac:dyDescent="0.2">
      <c r="B13" s="76"/>
      <c r="C13" s="29" t="s">
        <v>49</v>
      </c>
      <c r="D13" s="75" t="s">
        <v>329</v>
      </c>
      <c r="E13" s="38"/>
      <c r="F13" s="38"/>
    </row>
    <row r="14" spans="2:6" s="32" customFormat="1" ht="15" x14ac:dyDescent="0.2">
      <c r="B14" s="76"/>
      <c r="C14" s="77"/>
      <c r="D14" s="75"/>
      <c r="E14" s="38"/>
      <c r="F14" s="38"/>
    </row>
    <row r="15" spans="2:6" s="32" customFormat="1" ht="15" x14ac:dyDescent="0.2">
      <c r="B15" s="74" t="s">
        <v>50</v>
      </c>
      <c r="C15" s="78" t="s">
        <v>51</v>
      </c>
      <c r="D15" s="75"/>
      <c r="E15" s="38"/>
      <c r="F15" s="38"/>
    </row>
    <row r="16" spans="2:6" s="32" customFormat="1" ht="15" x14ac:dyDescent="0.2">
      <c r="B16" s="76"/>
      <c r="C16" s="29" t="s">
        <v>47</v>
      </c>
      <c r="D16" s="75"/>
      <c r="E16" s="38"/>
      <c r="F16" s="38"/>
    </row>
    <row r="17" spans="2:6" x14ac:dyDescent="0.2">
      <c r="B17" s="76"/>
      <c r="C17" s="29" t="s">
        <v>48</v>
      </c>
      <c r="D17" s="75"/>
      <c r="E17" s="27"/>
      <c r="F17" s="27"/>
    </row>
    <row r="18" spans="2:6" x14ac:dyDescent="0.2">
      <c r="B18" s="79"/>
      <c r="C18" s="29" t="s">
        <v>52</v>
      </c>
      <c r="D18" s="75"/>
      <c r="E18" s="27"/>
      <c r="F18" s="27"/>
    </row>
    <row r="19" spans="2:6" ht="15" x14ac:dyDescent="0.2">
      <c r="B19" s="79"/>
      <c r="C19" s="78"/>
      <c r="D19" s="75"/>
      <c r="E19" s="27"/>
      <c r="F19" s="27"/>
    </row>
    <row r="20" spans="2:6" ht="17.25" customHeight="1" x14ac:dyDescent="0.2">
      <c r="B20" s="74">
        <v>2</v>
      </c>
      <c r="C20" s="73" t="s">
        <v>147</v>
      </c>
      <c r="D20" s="75"/>
      <c r="E20" s="27"/>
      <c r="F20" s="27"/>
    </row>
    <row r="21" spans="2:6" ht="17.25" customHeight="1" x14ac:dyDescent="0.2">
      <c r="B21" s="74"/>
      <c r="C21" s="73" t="s">
        <v>53</v>
      </c>
      <c r="D21" s="75"/>
      <c r="E21" s="27"/>
      <c r="F21" s="27"/>
    </row>
    <row r="22" spans="2:6" ht="17.25" customHeight="1" x14ac:dyDescent="0.2">
      <c r="B22" s="74"/>
      <c r="C22" s="73" t="s">
        <v>53</v>
      </c>
      <c r="D22" s="75"/>
      <c r="E22" s="27"/>
      <c r="F22" s="27"/>
    </row>
    <row r="23" spans="2:6" ht="15" x14ac:dyDescent="0.2">
      <c r="B23" s="76"/>
      <c r="C23" s="78" t="s">
        <v>54</v>
      </c>
      <c r="D23" s="75"/>
      <c r="E23" s="27"/>
      <c r="F23" s="27"/>
    </row>
    <row r="25" spans="2:6" ht="15" x14ac:dyDescent="0.2">
      <c r="B25" s="80" t="s">
        <v>43</v>
      </c>
      <c r="C25" s="81"/>
      <c r="D25" s="81"/>
      <c r="E25" s="81"/>
    </row>
    <row r="26" spans="2:6" x14ac:dyDescent="0.2">
      <c r="B26" s="5" t="s">
        <v>183</v>
      </c>
      <c r="D26" s="82"/>
      <c r="E26" s="81"/>
    </row>
    <row r="27" spans="2:6" ht="18" customHeight="1" x14ac:dyDescent="0.2">
      <c r="B27" s="81"/>
      <c r="E27" s="81"/>
    </row>
    <row r="28" spans="2:6" x14ac:dyDescent="0.2">
      <c r="B28" s="81"/>
      <c r="C28" s="81"/>
      <c r="D28" s="81"/>
      <c r="E28" s="81"/>
    </row>
    <row r="29" spans="2:6" x14ac:dyDescent="0.2">
      <c r="B29" s="81"/>
      <c r="C29" s="81"/>
      <c r="D29" s="81"/>
      <c r="E29" s="81"/>
    </row>
    <row r="30" spans="2:6" x14ac:dyDescent="0.2">
      <c r="B30" s="81"/>
      <c r="C30" s="81"/>
      <c r="D30" s="81"/>
      <c r="E30" s="81"/>
    </row>
    <row r="31" spans="2:6" x14ac:dyDescent="0.2">
      <c r="B31" s="81"/>
      <c r="C31" s="81"/>
      <c r="D31" s="81"/>
      <c r="E31" s="81"/>
    </row>
  </sheetData>
  <mergeCells count="4">
    <mergeCell ref="B6:B8"/>
    <mergeCell ref="C6:C8"/>
    <mergeCell ref="B4:F4"/>
    <mergeCell ref="B2:F2"/>
  </mergeCells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3"/>
  <sheetViews>
    <sheetView showGridLines="0" view="pageBreakPreview" topLeftCell="A10" zoomScale="81" zoomScaleNormal="93" zoomScaleSheetLayoutView="81" workbookViewId="0">
      <selection activeCell="B3" sqref="B3:O3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7" ht="15" x14ac:dyDescent="0.2">
      <c r="B1" s="88"/>
    </row>
    <row r="2" spans="2:17" ht="14.25" customHeight="1" x14ac:dyDescent="0.2">
      <c r="B2" s="231" t="s">
        <v>303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</row>
    <row r="3" spans="2:17" ht="14.25" customHeight="1" x14ac:dyDescent="0.2">
      <c r="B3" s="231" t="str">
        <f>'F9'!$D$3</f>
        <v>Nagarjuna Sagar HES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</row>
    <row r="4" spans="2:17" ht="15" x14ac:dyDescent="0.2">
      <c r="B4" s="231" t="s">
        <v>271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</row>
    <row r="5" spans="2:17" ht="16.5" x14ac:dyDescent="0.2">
      <c r="B5" s="24"/>
      <c r="C5" s="70"/>
      <c r="D5" s="70"/>
      <c r="E5" s="70"/>
      <c r="F5" s="70"/>
      <c r="G5" s="70"/>
      <c r="H5" s="70"/>
      <c r="I5" s="83"/>
    </row>
    <row r="6" spans="2:17" ht="16.5" x14ac:dyDescent="0.2">
      <c r="B6" s="24" t="s">
        <v>304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35"/>
      <c r="P6" s="83"/>
    </row>
    <row r="7" spans="2:17" ht="18.75" customHeight="1" x14ac:dyDescent="0.2">
      <c r="B7" s="234" t="s">
        <v>272</v>
      </c>
      <c r="C7" s="246" t="s">
        <v>141</v>
      </c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3"/>
      <c r="O7" s="157" t="s">
        <v>142</v>
      </c>
      <c r="P7" s="83"/>
      <c r="Q7" s="83"/>
    </row>
    <row r="8" spans="2:17" ht="15" x14ac:dyDescent="0.2">
      <c r="B8" s="236"/>
      <c r="C8" s="157" t="s">
        <v>129</v>
      </c>
      <c r="D8" s="157" t="s">
        <v>130</v>
      </c>
      <c r="E8" s="158" t="s">
        <v>131</v>
      </c>
      <c r="F8" s="158" t="s">
        <v>132</v>
      </c>
      <c r="G8" s="158" t="s">
        <v>133</v>
      </c>
      <c r="H8" s="158" t="s">
        <v>134</v>
      </c>
      <c r="I8" s="158" t="s">
        <v>135</v>
      </c>
      <c r="J8" s="158" t="s">
        <v>136</v>
      </c>
      <c r="K8" s="158" t="s">
        <v>137</v>
      </c>
      <c r="L8" s="158" t="s">
        <v>138</v>
      </c>
      <c r="M8" s="158" t="s">
        <v>139</v>
      </c>
      <c r="N8" s="158" t="s">
        <v>140</v>
      </c>
      <c r="O8" s="159"/>
    </row>
    <row r="9" spans="2:17" s="32" customFormat="1" ht="15" x14ac:dyDescent="0.2">
      <c r="B9" s="134" t="s">
        <v>345</v>
      </c>
      <c r="C9" s="133">
        <f>6.74*0.7055</f>
        <v>4.7550699999999999</v>
      </c>
      <c r="D9" s="133">
        <f>-0.34*0.7055</f>
        <v>-0.23987000000000003</v>
      </c>
      <c r="E9" s="133">
        <f>-0.31*0.7055</f>
        <v>-0.21870500000000001</v>
      </c>
      <c r="F9" s="133">
        <f>14.21*0.7055</f>
        <v>10.025155000000002</v>
      </c>
      <c r="G9" s="133">
        <f>519.98*0.7055</f>
        <v>366.84589</v>
      </c>
      <c r="H9" s="133">
        <f>510.7*0.7055</f>
        <v>360.29885000000002</v>
      </c>
      <c r="I9" s="133">
        <f>552.39*0.7055</f>
        <v>389.71114499999999</v>
      </c>
      <c r="J9" s="133">
        <f>136.98*0.7055</f>
        <v>96.639389999999992</v>
      </c>
      <c r="K9" s="133">
        <f>68.41*0.7055</f>
        <v>48.263255000000001</v>
      </c>
      <c r="L9" s="133">
        <f>93.78*0.7055</f>
        <v>66.161789999999996</v>
      </c>
      <c r="M9" s="133">
        <f>63.02*0.7055</f>
        <v>44.460610000000003</v>
      </c>
      <c r="N9" s="133">
        <f>52.06*0.7055</f>
        <v>36.72833</v>
      </c>
      <c r="O9" s="133">
        <f>SUM(C9:N9)</f>
        <v>1423.43091</v>
      </c>
    </row>
    <row r="10" spans="2:17" s="32" customFormat="1" ht="15" x14ac:dyDescent="0.2">
      <c r="B10" s="134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2:17" s="32" customFormat="1" ht="15" x14ac:dyDescent="0.2">
      <c r="B11" s="134" t="s">
        <v>346</v>
      </c>
      <c r="C11" s="133">
        <f>6.74*0.2945</f>
        <v>1.9849299999999999</v>
      </c>
      <c r="D11" s="133">
        <f>-0.34*0.2945</f>
        <v>-0.10013</v>
      </c>
      <c r="E11" s="133">
        <f>-0.31*0.2945</f>
        <v>-9.1295000000000001E-2</v>
      </c>
      <c r="F11" s="133">
        <f>14.21*0.2945</f>
        <v>4.1848450000000001</v>
      </c>
      <c r="G11" s="133">
        <f>519.98*0.2945</f>
        <v>153.13410999999999</v>
      </c>
      <c r="H11" s="133">
        <f>510.7*0.2945</f>
        <v>150.40115</v>
      </c>
      <c r="I11" s="133">
        <f>552.39*0.2945</f>
        <v>162.678855</v>
      </c>
      <c r="J11" s="133">
        <f>136.98*0.2945</f>
        <v>40.340609999999998</v>
      </c>
      <c r="K11" s="133">
        <f>68.41*0.2945</f>
        <v>20.146744999999999</v>
      </c>
      <c r="L11" s="133">
        <f>93.78*0.2945</f>
        <v>27.618209999999998</v>
      </c>
      <c r="M11" s="133">
        <f>63.02*0.2945</f>
        <v>18.55939</v>
      </c>
      <c r="N11" s="133">
        <f>52.06*0.2945</f>
        <v>15.331669999999999</v>
      </c>
      <c r="O11" s="133">
        <f>SUM(C11:N11)</f>
        <v>594.18908999999996</v>
      </c>
    </row>
    <row r="12" spans="2:17" s="32" customFormat="1" ht="15" x14ac:dyDescent="0.2">
      <c r="B12" s="160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</row>
    <row r="13" spans="2:17" ht="15" x14ac:dyDescent="0.2">
      <c r="B13" s="161" t="s">
        <v>127</v>
      </c>
      <c r="C13" s="162">
        <f>C9+C11</f>
        <v>6.74</v>
      </c>
      <c r="D13" s="162">
        <f t="shared" ref="D13:N13" si="0">D9+D11</f>
        <v>-0.34</v>
      </c>
      <c r="E13" s="162">
        <f t="shared" si="0"/>
        <v>-0.31</v>
      </c>
      <c r="F13" s="162">
        <f t="shared" si="0"/>
        <v>14.21</v>
      </c>
      <c r="G13" s="162">
        <f t="shared" si="0"/>
        <v>519.98</v>
      </c>
      <c r="H13" s="162">
        <f>H9+H11</f>
        <v>510.70000000000005</v>
      </c>
      <c r="I13" s="162">
        <f t="shared" si="0"/>
        <v>552.39</v>
      </c>
      <c r="J13" s="162">
        <f t="shared" si="0"/>
        <v>136.97999999999999</v>
      </c>
      <c r="K13" s="162">
        <f t="shared" si="0"/>
        <v>68.41</v>
      </c>
      <c r="L13" s="162">
        <f>L9+L11</f>
        <v>93.78</v>
      </c>
      <c r="M13" s="162">
        <f t="shared" si="0"/>
        <v>63.02</v>
      </c>
      <c r="N13" s="162">
        <f t="shared" si="0"/>
        <v>52.06</v>
      </c>
      <c r="O13" s="162">
        <f>O9+O11</f>
        <v>2017.62</v>
      </c>
    </row>
    <row r="15" spans="2:17" ht="16.5" x14ac:dyDescent="0.2">
      <c r="B15" s="24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35"/>
      <c r="P15" s="83"/>
    </row>
    <row r="16" spans="2:17" ht="15" x14ac:dyDescent="0.2">
      <c r="B16" s="24" t="s">
        <v>305</v>
      </c>
      <c r="C16" s="70"/>
      <c r="D16" s="70"/>
      <c r="E16" s="70"/>
      <c r="F16" s="70"/>
      <c r="G16" s="70"/>
      <c r="H16" s="70"/>
      <c r="I16" s="35"/>
    </row>
    <row r="17" spans="2:15" ht="15" x14ac:dyDescent="0.2">
      <c r="B17" s="163"/>
      <c r="C17" s="246" t="s">
        <v>141</v>
      </c>
      <c r="D17" s="242"/>
      <c r="E17" s="242"/>
      <c r="F17" s="242"/>
      <c r="G17" s="242"/>
      <c r="H17" s="243"/>
      <c r="I17" s="246" t="s">
        <v>5</v>
      </c>
      <c r="J17" s="242"/>
      <c r="K17" s="242"/>
      <c r="L17" s="242"/>
      <c r="M17" s="242"/>
      <c r="N17" s="243"/>
      <c r="O17" s="164" t="s">
        <v>128</v>
      </c>
    </row>
    <row r="18" spans="2:15" ht="15" x14ac:dyDescent="0.2">
      <c r="B18" s="157" t="s">
        <v>272</v>
      </c>
      <c r="C18" s="157" t="s">
        <v>129</v>
      </c>
      <c r="D18" s="157" t="s">
        <v>130</v>
      </c>
      <c r="E18" s="158" t="s">
        <v>131</v>
      </c>
      <c r="F18" s="158" t="s">
        <v>132</v>
      </c>
      <c r="G18" s="158" t="s">
        <v>133</v>
      </c>
      <c r="H18" s="158" t="s">
        <v>134</v>
      </c>
      <c r="I18" s="158" t="s">
        <v>135</v>
      </c>
      <c r="J18" s="158" t="s">
        <v>136</v>
      </c>
      <c r="K18" s="158" t="s">
        <v>137</v>
      </c>
      <c r="L18" s="158" t="s">
        <v>138</v>
      </c>
      <c r="M18" s="158" t="s">
        <v>139</v>
      </c>
      <c r="N18" s="158" t="s">
        <v>140</v>
      </c>
      <c r="O18" s="158" t="s">
        <v>127</v>
      </c>
    </row>
    <row r="19" spans="2:15" ht="15" x14ac:dyDescent="0.2">
      <c r="B19" s="134" t="s">
        <v>345</v>
      </c>
      <c r="C19" s="133">
        <f>39.51*0.7055</f>
        <v>27.874305</v>
      </c>
      <c r="D19" s="133">
        <f>46.25*0.7055</f>
        <v>32.629375000000003</v>
      </c>
      <c r="E19" s="133">
        <f>52.45*0.7055</f>
        <v>37.003475000000002</v>
      </c>
      <c r="F19" s="133">
        <f>158.5*0.7055</f>
        <v>111.82175000000001</v>
      </c>
      <c r="G19" s="133">
        <f>577.2*0.7055</f>
        <v>407.21460000000002</v>
      </c>
      <c r="H19" s="133">
        <f>605.13*0.7055</f>
        <v>426.91921500000001</v>
      </c>
      <c r="I19" s="133">
        <v>190.98204274345889</v>
      </c>
      <c r="J19" s="133">
        <v>73.02239304951344</v>
      </c>
      <c r="K19" s="133">
        <v>27.3697684421081</v>
      </c>
      <c r="L19" s="133">
        <v>36.506004543248366</v>
      </c>
      <c r="M19" s="133">
        <v>31.597076451093717</v>
      </c>
      <c r="N19" s="133">
        <v>24.578388340577536</v>
      </c>
      <c r="O19" s="133">
        <f>SUM(C19:N19)</f>
        <v>1427.5183935699999</v>
      </c>
    </row>
    <row r="20" spans="2:15" ht="15" x14ac:dyDescent="0.2">
      <c r="B20" s="134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61"/>
    </row>
    <row r="21" spans="2:15" ht="15" x14ac:dyDescent="0.2">
      <c r="B21" s="134" t="s">
        <v>346</v>
      </c>
      <c r="C21" s="133">
        <f>39.51*0.2945</f>
        <v>11.635694999999998</v>
      </c>
      <c r="D21" s="133">
        <f>46.25*0.2945</f>
        <v>13.620624999999999</v>
      </c>
      <c r="E21" s="133">
        <f>52.45*0.2945</f>
        <v>15.446524999999999</v>
      </c>
      <c r="F21" s="133">
        <f>158.5*0.2945</f>
        <v>46.678249999999998</v>
      </c>
      <c r="G21" s="133">
        <f>577.2*0.2945</f>
        <v>169.9854</v>
      </c>
      <c r="H21" s="133">
        <f>605.13*0.2945</f>
        <v>178.21078499999999</v>
      </c>
      <c r="I21" s="133">
        <v>79.722482761089495</v>
      </c>
      <c r="J21" s="133">
        <v>30.482062017125024</v>
      </c>
      <c r="K21" s="133">
        <v>11.425084062651786</v>
      </c>
      <c r="L21" s="133">
        <v>15.238863696650096</v>
      </c>
      <c r="M21" s="133">
        <v>13.189708029549397</v>
      </c>
      <c r="N21" s="133">
        <v>10.259865862934209</v>
      </c>
      <c r="O21" s="133">
        <f>SUM(C21:N21)</f>
        <v>595.89534643000002</v>
      </c>
    </row>
    <row r="22" spans="2:15" x14ac:dyDescent="0.2">
      <c r="B22" s="160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</row>
    <row r="23" spans="2:15" ht="15" x14ac:dyDescent="0.2">
      <c r="B23" s="161" t="s">
        <v>127</v>
      </c>
      <c r="C23" s="162">
        <f>C19+C21</f>
        <v>39.51</v>
      </c>
      <c r="D23" s="162">
        <f t="shared" ref="D23:N23" si="1">D19+D21</f>
        <v>46.25</v>
      </c>
      <c r="E23" s="162">
        <f t="shared" si="1"/>
        <v>52.45</v>
      </c>
      <c r="F23" s="162">
        <f t="shared" si="1"/>
        <v>158.5</v>
      </c>
      <c r="G23" s="162">
        <f t="shared" si="1"/>
        <v>577.20000000000005</v>
      </c>
      <c r="H23" s="162">
        <f t="shared" si="1"/>
        <v>605.13</v>
      </c>
      <c r="I23" s="162">
        <f t="shared" si="1"/>
        <v>270.70452550454837</v>
      </c>
      <c r="J23" s="162">
        <f t="shared" si="1"/>
        <v>103.50445506663846</v>
      </c>
      <c r="K23" s="162">
        <f>K19+K21</f>
        <v>38.794852504759888</v>
      </c>
      <c r="L23" s="162">
        <f t="shared" si="1"/>
        <v>51.744868239898466</v>
      </c>
      <c r="M23" s="162">
        <f t="shared" si="1"/>
        <v>44.786784480643114</v>
      </c>
      <c r="N23" s="162">
        <f t="shared" si="1"/>
        <v>34.838254203511745</v>
      </c>
      <c r="O23" s="162">
        <f>O19+O21</f>
        <v>2023.41374</v>
      </c>
    </row>
    <row r="26" spans="2:15" ht="15" x14ac:dyDescent="0.2">
      <c r="B26" s="24" t="s">
        <v>332</v>
      </c>
      <c r="C26" s="70"/>
      <c r="D26" s="70"/>
      <c r="E26" s="70"/>
      <c r="F26" s="70"/>
      <c r="G26" s="70"/>
      <c r="H26" s="70"/>
      <c r="I26" s="35"/>
    </row>
    <row r="27" spans="2:15" ht="15" x14ac:dyDescent="0.2">
      <c r="B27" s="24" t="s">
        <v>347</v>
      </c>
      <c r="C27" s="25"/>
      <c r="D27" s="25"/>
      <c r="O27" s="25"/>
    </row>
    <row r="28" spans="2:15" ht="15" x14ac:dyDescent="0.2">
      <c r="B28" s="157" t="s">
        <v>272</v>
      </c>
      <c r="C28" s="157" t="s">
        <v>129</v>
      </c>
      <c r="D28" s="157" t="s">
        <v>130</v>
      </c>
      <c r="E28" s="158" t="s">
        <v>131</v>
      </c>
      <c r="F28" s="158" t="s">
        <v>132</v>
      </c>
      <c r="G28" s="158" t="s">
        <v>133</v>
      </c>
      <c r="H28" s="158" t="s">
        <v>134</v>
      </c>
      <c r="I28" s="158" t="s">
        <v>135</v>
      </c>
      <c r="J28" s="158" t="s">
        <v>136</v>
      </c>
      <c r="K28" s="158" t="s">
        <v>137</v>
      </c>
      <c r="L28" s="158" t="s">
        <v>138</v>
      </c>
      <c r="M28" s="158" t="s">
        <v>139</v>
      </c>
      <c r="N28" s="158" t="s">
        <v>140</v>
      </c>
      <c r="O28" s="158" t="s">
        <v>127</v>
      </c>
    </row>
    <row r="29" spans="2:15" ht="15" x14ac:dyDescent="0.2">
      <c r="B29" s="134" t="s">
        <v>345</v>
      </c>
      <c r="C29" s="133">
        <v>28.040119259766964</v>
      </c>
      <c r="D29" s="133">
        <v>28.040119259766964</v>
      </c>
      <c r="E29" s="133">
        <v>28.040119259766964</v>
      </c>
      <c r="F29" s="133">
        <v>37.151947078552325</v>
      </c>
      <c r="G29" s="133">
        <v>239.72848838334065</v>
      </c>
      <c r="H29" s="133">
        <v>239.72848838334065</v>
      </c>
      <c r="I29" s="133">
        <v>242.52765654676168</v>
      </c>
      <c r="J29" s="133">
        <v>82.705031469284521</v>
      </c>
      <c r="K29" s="133">
        <v>37.843262534935207</v>
      </c>
      <c r="L29" s="133">
        <v>42.751494346033333</v>
      </c>
      <c r="M29" s="133">
        <v>39.951115241973376</v>
      </c>
      <c r="N29" s="133">
        <v>29.439703341477493</v>
      </c>
      <c r="O29" s="166">
        <f>SUM(C29:N29)</f>
        <v>1075.9475451050002</v>
      </c>
    </row>
    <row r="30" spans="2:15" ht="15" x14ac:dyDescent="0.2">
      <c r="B30" s="134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6"/>
    </row>
    <row r="31" spans="2:15" ht="15" x14ac:dyDescent="0.2">
      <c r="B31" s="134" t="s">
        <v>346</v>
      </c>
      <c r="C31" s="133">
        <v>11.704911583276216</v>
      </c>
      <c r="D31" s="133">
        <v>11.704911583276216</v>
      </c>
      <c r="E31" s="133">
        <v>11.704911583276216</v>
      </c>
      <c r="F31" s="133">
        <v>15.508502359509084</v>
      </c>
      <c r="G31" s="133">
        <v>100.07092817702879</v>
      </c>
      <c r="H31" s="133">
        <v>100.07092817702879</v>
      </c>
      <c r="I31" s="133">
        <v>101.23939738202878</v>
      </c>
      <c r="J31" s="133">
        <v>34.523928799013873</v>
      </c>
      <c r="K31" s="133">
        <v>15.797081242435745</v>
      </c>
      <c r="L31" s="133">
        <v>17.845946257840986</v>
      </c>
      <c r="M31" s="133">
        <v>16.676971564509081</v>
      </c>
      <c r="N31" s="133">
        <v>12.289146185776216</v>
      </c>
      <c r="O31" s="166">
        <f>SUM(C31:N31)</f>
        <v>449.13756489500003</v>
      </c>
    </row>
    <row r="32" spans="2:15" x14ac:dyDescent="0.2">
      <c r="B32" s="160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</row>
    <row r="33" spans="2:15" ht="15" x14ac:dyDescent="0.2">
      <c r="B33" s="161" t="s">
        <v>127</v>
      </c>
      <c r="C33" s="162">
        <f>C29+C31</f>
        <v>39.745030843043182</v>
      </c>
      <c r="D33" s="162">
        <f t="shared" ref="D33:M33" si="2">D29+D31</f>
        <v>39.745030843043182</v>
      </c>
      <c r="E33" s="162">
        <f t="shared" si="2"/>
        <v>39.745030843043182</v>
      </c>
      <c r="F33" s="162">
        <f t="shared" si="2"/>
        <v>52.660449438061406</v>
      </c>
      <c r="G33" s="162">
        <f t="shared" si="2"/>
        <v>339.79941656036942</v>
      </c>
      <c r="H33" s="162">
        <f t="shared" si="2"/>
        <v>339.79941656036942</v>
      </c>
      <c r="I33" s="162">
        <f t="shared" si="2"/>
        <v>343.76705392879046</v>
      </c>
      <c r="J33" s="162">
        <f t="shared" si="2"/>
        <v>117.22896026829839</v>
      </c>
      <c r="K33" s="162">
        <f t="shared" si="2"/>
        <v>53.640343777370951</v>
      </c>
      <c r="L33" s="162">
        <f t="shared" si="2"/>
        <v>60.597440603874318</v>
      </c>
      <c r="M33" s="162">
        <f t="shared" si="2"/>
        <v>56.628086806482457</v>
      </c>
      <c r="N33" s="162">
        <f>N29+N31</f>
        <v>41.728849527253708</v>
      </c>
      <c r="O33" s="162">
        <f>O29+O31</f>
        <v>1525.0851100000002</v>
      </c>
    </row>
  </sheetData>
  <mergeCells count="7">
    <mergeCell ref="B7:B8"/>
    <mergeCell ref="C7:N7"/>
    <mergeCell ref="C17:H17"/>
    <mergeCell ref="I17:N17"/>
    <mergeCell ref="B2:O2"/>
    <mergeCell ref="B3:O3"/>
    <mergeCell ref="B4:O4"/>
  </mergeCells>
  <pageMargins left="0.13" right="0.33" top="1" bottom="0.37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showGridLines="0" view="pageBreakPreview" zoomScaleNormal="93" zoomScaleSheetLayoutView="100" workbookViewId="0">
      <selection activeCell="A5" sqref="A5:XFD5"/>
    </sheetView>
  </sheetViews>
  <sheetFormatPr defaultRowHeight="12.75" x14ac:dyDescent="0.2"/>
  <cols>
    <col min="1" max="1" width="6.85546875" customWidth="1"/>
    <col min="2" max="2" width="36.5703125" customWidth="1"/>
    <col min="3" max="3" width="10.42578125" customWidth="1"/>
    <col min="4" max="4" width="8.42578125" customWidth="1"/>
    <col min="16" max="16" width="11" style="209" customWidth="1"/>
  </cols>
  <sheetData>
    <row r="1" spans="1:16" ht="17.25" customHeight="1" x14ac:dyDescent="0.2">
      <c r="A1" s="188"/>
      <c r="B1" s="188"/>
      <c r="C1" s="188"/>
      <c r="D1" s="188"/>
      <c r="E1" s="188"/>
      <c r="F1" s="188"/>
      <c r="G1" s="188"/>
      <c r="H1" s="189" t="s">
        <v>348</v>
      </c>
      <c r="I1" s="188"/>
      <c r="J1" s="188"/>
      <c r="K1" s="188"/>
      <c r="L1" s="188"/>
      <c r="M1" s="188"/>
      <c r="N1" s="188"/>
      <c r="O1" s="188"/>
      <c r="P1" s="206"/>
    </row>
    <row r="2" spans="1:16" ht="17.25" x14ac:dyDescent="0.2">
      <c r="A2" s="188"/>
      <c r="B2" s="188"/>
      <c r="C2" s="188"/>
      <c r="D2" s="188"/>
      <c r="E2" s="188"/>
      <c r="F2" s="188"/>
      <c r="G2" s="188"/>
      <c r="H2" s="189" t="str">
        <f>'F9'!$D$3</f>
        <v>Nagarjuna Sagar HES</v>
      </c>
      <c r="I2" s="188"/>
      <c r="J2" s="188"/>
      <c r="K2" s="188"/>
      <c r="L2" s="188"/>
      <c r="M2" s="188"/>
      <c r="N2" s="188"/>
      <c r="O2" s="188"/>
      <c r="P2" s="206"/>
    </row>
    <row r="3" spans="1:16" ht="17.25" x14ac:dyDescent="0.2">
      <c r="A3" s="190" t="s">
        <v>349</v>
      </c>
      <c r="B3" s="191"/>
      <c r="C3" s="191"/>
      <c r="D3" s="191"/>
      <c r="E3" s="191"/>
      <c r="F3" s="191"/>
      <c r="G3" s="191"/>
      <c r="H3" s="192" t="s">
        <v>275</v>
      </c>
      <c r="I3" s="191"/>
      <c r="J3" s="191"/>
      <c r="K3" s="191"/>
      <c r="L3" s="191"/>
      <c r="M3" s="191"/>
      <c r="N3" s="191"/>
      <c r="O3" s="191"/>
      <c r="P3" s="193"/>
    </row>
    <row r="4" spans="1:16" ht="17.25" x14ac:dyDescent="0.2">
      <c r="A4" s="193" t="s">
        <v>12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3"/>
    </row>
    <row r="5" spans="1:16" s="209" customFormat="1" ht="17.25" x14ac:dyDescent="0.2">
      <c r="A5" s="207" t="s">
        <v>169</v>
      </c>
      <c r="B5" s="207" t="s">
        <v>18</v>
      </c>
      <c r="C5" s="207" t="s">
        <v>39</v>
      </c>
      <c r="D5" s="207" t="s">
        <v>129</v>
      </c>
      <c r="E5" s="207" t="s">
        <v>130</v>
      </c>
      <c r="F5" s="207" t="s">
        <v>131</v>
      </c>
      <c r="G5" s="207" t="s">
        <v>132</v>
      </c>
      <c r="H5" s="207" t="s">
        <v>133</v>
      </c>
      <c r="I5" s="207" t="s">
        <v>134</v>
      </c>
      <c r="J5" s="207" t="s">
        <v>135</v>
      </c>
      <c r="K5" s="207" t="s">
        <v>136</v>
      </c>
      <c r="L5" s="207" t="s">
        <v>137</v>
      </c>
      <c r="M5" s="207" t="s">
        <v>138</v>
      </c>
      <c r="N5" s="207" t="s">
        <v>139</v>
      </c>
      <c r="O5" s="207" t="s">
        <v>140</v>
      </c>
      <c r="P5" s="207" t="s">
        <v>127</v>
      </c>
    </row>
    <row r="6" spans="1:16" ht="24.75" customHeight="1" x14ac:dyDescent="0.2">
      <c r="A6" s="194">
        <v>1</v>
      </c>
      <c r="B6" s="195" t="s">
        <v>152</v>
      </c>
      <c r="C6" s="196" t="s">
        <v>40</v>
      </c>
      <c r="D6" s="197"/>
      <c r="E6" s="197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9"/>
    </row>
    <row r="7" spans="1:16" ht="22.5" customHeight="1" x14ac:dyDescent="0.2">
      <c r="A7" s="194">
        <f t="shared" ref="A7:A24" si="0">A6+1</f>
        <v>2</v>
      </c>
      <c r="B7" s="200" t="s">
        <v>170</v>
      </c>
      <c r="C7" s="195" t="s">
        <v>40</v>
      </c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208"/>
    </row>
    <row r="8" spans="1:16" ht="25.5" customHeight="1" x14ac:dyDescent="0.2">
      <c r="A8" s="194">
        <f t="shared" si="0"/>
        <v>3</v>
      </c>
      <c r="B8" s="200" t="s">
        <v>171</v>
      </c>
      <c r="C8" s="195" t="s">
        <v>40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208"/>
    </row>
    <row r="9" spans="1:16" ht="22.5" customHeight="1" x14ac:dyDescent="0.2">
      <c r="A9" s="194">
        <f t="shared" si="0"/>
        <v>4</v>
      </c>
      <c r="B9" s="200" t="s">
        <v>41</v>
      </c>
      <c r="C9" s="195" t="s">
        <v>40</v>
      </c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208"/>
    </row>
    <row r="10" spans="1:16" ht="27" customHeight="1" x14ac:dyDescent="0.2">
      <c r="A10" s="194">
        <f t="shared" si="0"/>
        <v>5</v>
      </c>
      <c r="B10" s="200" t="s">
        <v>172</v>
      </c>
      <c r="C10" s="195" t="s">
        <v>40</v>
      </c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208"/>
    </row>
    <row r="11" spans="1:16" ht="24" customHeight="1" x14ac:dyDescent="0.2">
      <c r="A11" s="194">
        <f t="shared" si="0"/>
        <v>6</v>
      </c>
      <c r="B11" s="200" t="s">
        <v>173</v>
      </c>
      <c r="C11" s="195" t="s">
        <v>40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208"/>
    </row>
    <row r="12" spans="1:16" ht="20.25" customHeight="1" x14ac:dyDescent="0.2">
      <c r="A12" s="194">
        <f t="shared" si="0"/>
        <v>7</v>
      </c>
      <c r="B12" s="200" t="s">
        <v>174</v>
      </c>
      <c r="C12" s="195" t="s">
        <v>42</v>
      </c>
      <c r="D12" s="153">
        <v>7.18</v>
      </c>
      <c r="E12" s="153">
        <v>0</v>
      </c>
      <c r="F12" s="153">
        <v>0.01</v>
      </c>
      <c r="G12" s="153">
        <v>14.7</v>
      </c>
      <c r="H12" s="153">
        <v>525.84</v>
      </c>
      <c r="I12" s="153">
        <v>516.73</v>
      </c>
      <c r="J12" s="153">
        <v>558.86</v>
      </c>
      <c r="K12" s="153">
        <v>138.83000000000001</v>
      </c>
      <c r="L12" s="153">
        <v>69.760000000000005</v>
      </c>
      <c r="M12" s="153">
        <v>95.48</v>
      </c>
      <c r="N12" s="153">
        <v>64.260000000000005</v>
      </c>
      <c r="O12" s="153">
        <v>53.2</v>
      </c>
      <c r="P12" s="154">
        <f>SUM(D12:O12)</f>
        <v>2044.8500000000001</v>
      </c>
    </row>
    <row r="13" spans="1:16" ht="25.5" customHeight="1" x14ac:dyDescent="0.2">
      <c r="A13" s="194">
        <f t="shared" si="0"/>
        <v>8</v>
      </c>
      <c r="B13" s="201" t="s">
        <v>175</v>
      </c>
      <c r="C13" s="194" t="s">
        <v>42</v>
      </c>
      <c r="D13" s="153">
        <v>0.44</v>
      </c>
      <c r="E13" s="153">
        <v>0.34</v>
      </c>
      <c r="F13" s="153">
        <v>0.32</v>
      </c>
      <c r="G13" s="153">
        <v>0.49</v>
      </c>
      <c r="H13" s="153">
        <v>5.87</v>
      </c>
      <c r="I13" s="153">
        <v>6.03</v>
      </c>
      <c r="J13" s="153">
        <v>6.46</v>
      </c>
      <c r="K13" s="153">
        <v>1.85</v>
      </c>
      <c r="L13" s="153">
        <v>1.35</v>
      </c>
      <c r="M13" s="153">
        <v>1.7</v>
      </c>
      <c r="N13" s="153">
        <v>1.24</v>
      </c>
      <c r="O13" s="153">
        <v>1.1399999999999999</v>
      </c>
      <c r="P13" s="154">
        <f t="shared" ref="P13:P14" si="1">SUM(D13:O13)</f>
        <v>27.23</v>
      </c>
    </row>
    <row r="14" spans="1:16" ht="23.25" customHeight="1" x14ac:dyDescent="0.2">
      <c r="A14" s="194">
        <f t="shared" si="0"/>
        <v>9</v>
      </c>
      <c r="B14" s="201" t="s">
        <v>188</v>
      </c>
      <c r="C14" s="194" t="s">
        <v>42</v>
      </c>
      <c r="D14" s="153">
        <v>6.7399999999999993</v>
      </c>
      <c r="E14" s="153">
        <v>-0.34</v>
      </c>
      <c r="F14" s="153">
        <v>-0.31</v>
      </c>
      <c r="G14" s="153">
        <v>14.209999999999999</v>
      </c>
      <c r="H14" s="153">
        <v>519.97</v>
      </c>
      <c r="I14" s="153">
        <v>510.70000000000005</v>
      </c>
      <c r="J14" s="153">
        <v>552.4</v>
      </c>
      <c r="K14" s="153">
        <v>136.98000000000002</v>
      </c>
      <c r="L14" s="153">
        <v>68.410000000000011</v>
      </c>
      <c r="M14" s="153">
        <v>93.78</v>
      </c>
      <c r="N14" s="153">
        <v>63.02</v>
      </c>
      <c r="O14" s="153">
        <v>52.06</v>
      </c>
      <c r="P14" s="154">
        <f t="shared" si="1"/>
        <v>2017.62</v>
      </c>
    </row>
    <row r="15" spans="1:16" ht="25.5" customHeight="1" x14ac:dyDescent="0.2">
      <c r="A15" s="194">
        <f t="shared" si="0"/>
        <v>10</v>
      </c>
      <c r="B15" s="201" t="s">
        <v>189</v>
      </c>
      <c r="C15" s="194" t="s">
        <v>42</v>
      </c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4"/>
    </row>
    <row r="16" spans="1:16" ht="25.5" customHeight="1" x14ac:dyDescent="0.2">
      <c r="A16" s="194">
        <f t="shared" si="0"/>
        <v>11</v>
      </c>
      <c r="B16" s="201" t="s">
        <v>176</v>
      </c>
      <c r="C16" s="194" t="s">
        <v>179</v>
      </c>
      <c r="D16" s="153">
        <v>0</v>
      </c>
      <c r="E16" s="153">
        <v>0</v>
      </c>
      <c r="F16" s="153">
        <v>0</v>
      </c>
      <c r="G16" s="153">
        <v>0</v>
      </c>
      <c r="H16" s="153">
        <v>0</v>
      </c>
      <c r="I16" s="153">
        <v>0</v>
      </c>
      <c r="J16" s="153">
        <v>0</v>
      </c>
      <c r="K16" s="153">
        <v>0</v>
      </c>
      <c r="L16" s="153">
        <v>0</v>
      </c>
      <c r="M16" s="153">
        <v>0</v>
      </c>
      <c r="N16" s="153">
        <v>0</v>
      </c>
      <c r="O16" s="153">
        <v>0</v>
      </c>
      <c r="P16" s="154">
        <v>0</v>
      </c>
    </row>
    <row r="17" spans="1:16" ht="26.25" customHeight="1" x14ac:dyDescent="0.2">
      <c r="A17" s="194">
        <f t="shared" si="0"/>
        <v>12</v>
      </c>
      <c r="B17" s="201" t="s">
        <v>190</v>
      </c>
      <c r="C17" s="194" t="s">
        <v>180</v>
      </c>
      <c r="D17" s="152">
        <v>23.670833333000001</v>
      </c>
      <c r="E17" s="152">
        <v>23.670833333000001</v>
      </c>
      <c r="F17" s="152">
        <v>23.670833333000001</v>
      </c>
      <c r="G17" s="152">
        <v>23.670833333000001</v>
      </c>
      <c r="H17" s="152">
        <v>23.670833333000001</v>
      </c>
      <c r="I17" s="152">
        <v>23.670833333000001</v>
      </c>
      <c r="J17" s="152">
        <v>23.670833333000001</v>
      </c>
      <c r="K17" s="152">
        <v>23.670833333000001</v>
      </c>
      <c r="L17" s="152">
        <v>23.670833333000001</v>
      </c>
      <c r="M17" s="152">
        <v>23.670833333000001</v>
      </c>
      <c r="N17" s="152">
        <v>23.670833333000001</v>
      </c>
      <c r="O17" s="152">
        <v>23.670833333000001</v>
      </c>
      <c r="P17" s="154">
        <f>SUM(D17:O17)</f>
        <v>284.049999996</v>
      </c>
    </row>
    <row r="18" spans="1:16" ht="23.25" customHeight="1" x14ac:dyDescent="0.2">
      <c r="A18" s="194">
        <f t="shared" si="0"/>
        <v>13</v>
      </c>
      <c r="B18" s="201" t="s">
        <v>273</v>
      </c>
      <c r="C18" s="194" t="s">
        <v>179</v>
      </c>
      <c r="D18" s="153">
        <v>0</v>
      </c>
      <c r="E18" s="153">
        <v>0</v>
      </c>
      <c r="F18" s="153">
        <v>0</v>
      </c>
      <c r="G18" s="153">
        <v>0</v>
      </c>
      <c r="H18" s="153">
        <v>0</v>
      </c>
      <c r="I18" s="153">
        <v>0</v>
      </c>
      <c r="J18" s="153">
        <v>0</v>
      </c>
      <c r="K18" s="153">
        <v>0</v>
      </c>
      <c r="L18" s="153">
        <v>0</v>
      </c>
      <c r="M18" s="153">
        <v>0</v>
      </c>
      <c r="N18" s="153">
        <v>0</v>
      </c>
      <c r="O18" s="153">
        <v>0</v>
      </c>
      <c r="P18" s="154">
        <v>0</v>
      </c>
    </row>
    <row r="19" spans="1:16" ht="21" customHeight="1" x14ac:dyDescent="0.2">
      <c r="A19" s="194">
        <f t="shared" si="0"/>
        <v>14</v>
      </c>
      <c r="B19" s="201" t="s">
        <v>177</v>
      </c>
      <c r="C19" s="194" t="s">
        <v>180</v>
      </c>
      <c r="D19" s="152">
        <v>23.670833333000001</v>
      </c>
      <c r="E19" s="152">
        <v>23.670833333000001</v>
      </c>
      <c r="F19" s="152">
        <v>23.670833333000001</v>
      </c>
      <c r="G19" s="152">
        <v>23.670833333000001</v>
      </c>
      <c r="H19" s="152">
        <v>23.670833333000001</v>
      </c>
      <c r="I19" s="152">
        <v>23.670833333000001</v>
      </c>
      <c r="J19" s="152">
        <v>23.670833333000001</v>
      </c>
      <c r="K19" s="152">
        <v>23.670833333000001</v>
      </c>
      <c r="L19" s="152">
        <v>23.670833333000001</v>
      </c>
      <c r="M19" s="152">
        <v>23.670833333000001</v>
      </c>
      <c r="N19" s="152">
        <v>23.670833333000001</v>
      </c>
      <c r="O19" s="152">
        <v>23.670833333000001</v>
      </c>
      <c r="P19" s="154">
        <f>SUM(D19:O19)</f>
        <v>284.049999996</v>
      </c>
    </row>
    <row r="20" spans="1:16" ht="24.75" customHeight="1" x14ac:dyDescent="0.2">
      <c r="A20" s="194">
        <f t="shared" si="0"/>
        <v>15</v>
      </c>
      <c r="B20" s="201" t="s">
        <v>274</v>
      </c>
      <c r="C20" s="194" t="s">
        <v>180</v>
      </c>
      <c r="D20" s="153">
        <v>0</v>
      </c>
      <c r="E20" s="153">
        <v>0</v>
      </c>
      <c r="F20" s="153">
        <v>0</v>
      </c>
      <c r="G20" s="153">
        <v>0</v>
      </c>
      <c r="H20" s="153">
        <v>0</v>
      </c>
      <c r="I20" s="153">
        <v>0</v>
      </c>
      <c r="J20" s="153">
        <v>0</v>
      </c>
      <c r="K20" s="153">
        <v>0</v>
      </c>
      <c r="L20" s="153">
        <v>0</v>
      </c>
      <c r="M20" s="153">
        <v>0</v>
      </c>
      <c r="N20" s="153">
        <v>0</v>
      </c>
      <c r="O20" s="153">
        <v>0</v>
      </c>
      <c r="P20" s="154">
        <v>0</v>
      </c>
    </row>
    <row r="21" spans="1:16" ht="36.75" customHeight="1" x14ac:dyDescent="0.2">
      <c r="A21" s="194">
        <f t="shared" si="0"/>
        <v>16</v>
      </c>
      <c r="B21" s="201" t="s">
        <v>191</v>
      </c>
      <c r="C21" s="194" t="s">
        <v>180</v>
      </c>
      <c r="D21" s="153">
        <v>0</v>
      </c>
      <c r="E21" s="153">
        <v>0</v>
      </c>
      <c r="F21" s="153">
        <v>0</v>
      </c>
      <c r="G21" s="153">
        <v>0</v>
      </c>
      <c r="H21" s="153">
        <v>0</v>
      </c>
      <c r="I21" s="153">
        <v>0</v>
      </c>
      <c r="J21" s="153">
        <v>0</v>
      </c>
      <c r="K21" s="153">
        <v>0</v>
      </c>
      <c r="L21" s="153">
        <v>0</v>
      </c>
      <c r="M21" s="153">
        <v>0</v>
      </c>
      <c r="N21" s="153">
        <v>0</v>
      </c>
      <c r="O21" s="153">
        <v>0</v>
      </c>
      <c r="P21" s="154">
        <v>0</v>
      </c>
    </row>
    <row r="22" spans="1:16" ht="22.5" customHeight="1" x14ac:dyDescent="0.2">
      <c r="A22" s="194">
        <f t="shared" si="0"/>
        <v>17</v>
      </c>
      <c r="B22" s="201" t="s">
        <v>178</v>
      </c>
      <c r="C22" s="194" t="s">
        <v>180</v>
      </c>
      <c r="D22" s="153">
        <v>0</v>
      </c>
      <c r="E22" s="153">
        <v>0</v>
      </c>
      <c r="F22" s="153">
        <v>0</v>
      </c>
      <c r="G22" s="153">
        <v>0</v>
      </c>
      <c r="H22" s="153">
        <v>0</v>
      </c>
      <c r="I22" s="153">
        <v>0</v>
      </c>
      <c r="J22" s="153">
        <v>0</v>
      </c>
      <c r="K22" s="153">
        <v>0</v>
      </c>
      <c r="L22" s="153">
        <v>0</v>
      </c>
      <c r="M22" s="153">
        <v>0</v>
      </c>
      <c r="N22" s="153">
        <v>0</v>
      </c>
      <c r="O22" s="153">
        <v>0</v>
      </c>
      <c r="P22" s="154">
        <v>0</v>
      </c>
    </row>
    <row r="23" spans="1:16" ht="27.75" customHeight="1" x14ac:dyDescent="0.2">
      <c r="A23" s="194">
        <f t="shared" si="0"/>
        <v>18</v>
      </c>
      <c r="B23" s="201" t="s">
        <v>143</v>
      </c>
      <c r="C23" s="194" t="s">
        <v>180</v>
      </c>
      <c r="D23" s="153">
        <v>23.670833333000001</v>
      </c>
      <c r="E23" s="153">
        <v>23.670833333000001</v>
      </c>
      <c r="F23" s="153">
        <v>23.670833333000001</v>
      </c>
      <c r="G23" s="153">
        <v>23.670833333000001</v>
      </c>
      <c r="H23" s="153">
        <v>23.670833333000001</v>
      </c>
      <c r="I23" s="153">
        <v>23.670833333000001</v>
      </c>
      <c r="J23" s="153">
        <v>23.670833333000001</v>
      </c>
      <c r="K23" s="153">
        <v>23.670833333000001</v>
      </c>
      <c r="L23" s="153">
        <v>23.670833333000001</v>
      </c>
      <c r="M23" s="153">
        <v>23.670833333000001</v>
      </c>
      <c r="N23" s="153">
        <v>23.670833333000001</v>
      </c>
      <c r="O23" s="153">
        <v>23.670833333000001</v>
      </c>
      <c r="P23" s="154">
        <f>SUM(D23:O23)</f>
        <v>284.049999996</v>
      </c>
    </row>
    <row r="24" spans="1:16" ht="36.75" customHeight="1" x14ac:dyDescent="0.2">
      <c r="A24" s="194">
        <f t="shared" si="0"/>
        <v>19</v>
      </c>
      <c r="B24" s="202" t="s">
        <v>350</v>
      </c>
      <c r="C24" s="19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</row>
    <row r="25" spans="1:16" ht="21.75" customHeight="1" x14ac:dyDescent="0.2">
      <c r="A25" s="194"/>
      <c r="B25" s="203" t="s">
        <v>351</v>
      </c>
      <c r="C25" s="194" t="s">
        <v>180</v>
      </c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4">
        <v>-0.13</v>
      </c>
    </row>
    <row r="26" spans="1:16" ht="20.25" customHeight="1" x14ac:dyDescent="0.2">
      <c r="A26" s="194"/>
      <c r="B26" s="201" t="s">
        <v>93</v>
      </c>
      <c r="C26" s="194" t="s">
        <v>180</v>
      </c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4">
        <v>8.2799999999999994</v>
      </c>
    </row>
    <row r="27" spans="1:16" ht="27" customHeight="1" x14ac:dyDescent="0.2">
      <c r="A27" s="194">
        <f>A24+1</f>
        <v>20</v>
      </c>
      <c r="B27" s="201" t="s">
        <v>151</v>
      </c>
      <c r="C27" s="194" t="s">
        <v>180</v>
      </c>
      <c r="D27" s="153">
        <v>23.670833333000001</v>
      </c>
      <c r="E27" s="153">
        <v>23.670833333000001</v>
      </c>
      <c r="F27" s="153">
        <v>23.670833333000001</v>
      </c>
      <c r="G27" s="153">
        <v>23.670833333000001</v>
      </c>
      <c r="H27" s="153">
        <v>23.670833333000001</v>
      </c>
      <c r="I27" s="153">
        <v>23.670833333000001</v>
      </c>
      <c r="J27" s="153">
        <v>23.670833333000001</v>
      </c>
      <c r="K27" s="153">
        <v>23.670833333000001</v>
      </c>
      <c r="L27" s="153">
        <v>23.670833333000001</v>
      </c>
      <c r="M27" s="153">
        <v>23.670833333000001</v>
      </c>
      <c r="N27" s="153">
        <v>23.670833333000001</v>
      </c>
      <c r="O27" s="153">
        <v>23.670833333000001</v>
      </c>
      <c r="P27" s="154">
        <f>P23+P25+P26</f>
        <v>292.19999999599997</v>
      </c>
    </row>
    <row r="28" spans="1:16" ht="37.5" customHeight="1" x14ac:dyDescent="0.2">
      <c r="A28" s="194">
        <f>A27+1</f>
        <v>21</v>
      </c>
      <c r="B28" s="201" t="s">
        <v>181</v>
      </c>
      <c r="C28" s="194" t="s">
        <v>180</v>
      </c>
      <c r="D28" s="153"/>
      <c r="E28" s="151"/>
      <c r="F28" s="151"/>
      <c r="G28" s="151"/>
      <c r="H28" s="151"/>
      <c r="I28" s="151"/>
      <c r="J28" s="151"/>
      <c r="K28" s="151"/>
      <c r="L28" s="155"/>
      <c r="M28" s="155"/>
      <c r="N28" s="155"/>
      <c r="O28" s="155"/>
      <c r="P28" s="204"/>
    </row>
    <row r="29" spans="1:16" x14ac:dyDescent="0.2"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</row>
    <row r="30" spans="1:16" x14ac:dyDescent="0.2"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/>
    </row>
    <row r="31" spans="1:16" x14ac:dyDescent="0.2"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</row>
    <row r="32" spans="1:16" x14ac:dyDescent="0.2"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</row>
    <row r="33" spans="4:16" x14ac:dyDescent="0.2"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</row>
    <row r="34" spans="4:16" x14ac:dyDescent="0.2"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</row>
    <row r="35" spans="4:16" x14ac:dyDescent="0.2"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</row>
    <row r="36" spans="4:16" x14ac:dyDescent="0.2"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</row>
    <row r="37" spans="4:16" x14ac:dyDescent="0.2"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</row>
    <row r="38" spans="4:16" x14ac:dyDescent="0.2"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</row>
    <row r="39" spans="4:16" x14ac:dyDescent="0.2"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</row>
    <row r="40" spans="4:16" x14ac:dyDescent="0.2"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</row>
    <row r="41" spans="4:16" x14ac:dyDescent="0.2"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</row>
    <row r="42" spans="4:16" x14ac:dyDescent="0.2"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</row>
    <row r="43" spans="4:16" x14ac:dyDescent="0.2"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/>
      <c r="P43" s="210"/>
    </row>
    <row r="44" spans="4:16" x14ac:dyDescent="0.2"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</row>
    <row r="45" spans="4:16" x14ac:dyDescent="0.2"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</row>
    <row r="46" spans="4:16" x14ac:dyDescent="0.2"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</row>
    <row r="47" spans="4:16" x14ac:dyDescent="0.2"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</row>
    <row r="48" spans="4:16" x14ac:dyDescent="0.2"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</row>
    <row r="49" spans="4:16" x14ac:dyDescent="0.2"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</row>
    <row r="50" spans="4:16" x14ac:dyDescent="0.2"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</row>
    <row r="51" spans="4:16" x14ac:dyDescent="0.2"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</row>
    <row r="52" spans="4:16" x14ac:dyDescent="0.2"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</row>
    <row r="53" spans="4:16" x14ac:dyDescent="0.2"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</row>
    <row r="54" spans="4:16" x14ac:dyDescent="0.2"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</row>
    <row r="55" spans="4:16" x14ac:dyDescent="0.2"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0"/>
    </row>
    <row r="56" spans="4:16" x14ac:dyDescent="0.2"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</row>
    <row r="57" spans="4:16" x14ac:dyDescent="0.2">
      <c r="D57" s="210"/>
      <c r="E57" s="210"/>
      <c r="F57" s="210"/>
      <c r="G57" s="210"/>
      <c r="H57" s="210"/>
      <c r="I57" s="210"/>
      <c r="J57" s="210"/>
      <c r="K57" s="210"/>
      <c r="L57" s="210"/>
      <c r="M57" s="210"/>
      <c r="N57" s="210"/>
      <c r="O57" s="210"/>
      <c r="P57" s="210"/>
    </row>
    <row r="58" spans="4:16" x14ac:dyDescent="0.2"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210"/>
      <c r="O58" s="210"/>
      <c r="P58" s="210"/>
    </row>
    <row r="59" spans="4:16" x14ac:dyDescent="0.2">
      <c r="D59" s="210"/>
      <c r="E59" s="210"/>
      <c r="F59" s="210"/>
      <c r="G59" s="210"/>
      <c r="H59" s="210"/>
      <c r="I59" s="210"/>
      <c r="J59" s="210"/>
      <c r="K59" s="210"/>
      <c r="L59" s="210"/>
      <c r="M59" s="210"/>
      <c r="N59" s="210"/>
      <c r="O59" s="210"/>
      <c r="P59" s="210"/>
    </row>
    <row r="60" spans="4:16" x14ac:dyDescent="0.2">
      <c r="D60" s="210"/>
      <c r="E60" s="210"/>
      <c r="F60" s="210"/>
      <c r="G60" s="210"/>
      <c r="H60" s="210"/>
      <c r="I60" s="210"/>
      <c r="J60" s="210"/>
      <c r="K60" s="210"/>
      <c r="L60" s="210"/>
      <c r="M60" s="210"/>
      <c r="N60" s="210"/>
      <c r="O60" s="210"/>
      <c r="P60" s="210"/>
    </row>
    <row r="61" spans="4:16" x14ac:dyDescent="0.2">
      <c r="D61" s="210"/>
      <c r="E61" s="210"/>
      <c r="F61" s="210"/>
      <c r="G61" s="210"/>
      <c r="H61" s="210"/>
      <c r="I61" s="210"/>
      <c r="J61" s="210"/>
      <c r="K61" s="210"/>
      <c r="L61" s="210"/>
      <c r="M61" s="210"/>
      <c r="N61" s="210"/>
      <c r="O61" s="210"/>
      <c r="P61" s="210"/>
    </row>
    <row r="62" spans="4:16" x14ac:dyDescent="0.2"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  <c r="O62" s="210"/>
      <c r="P62" s="210"/>
    </row>
    <row r="63" spans="4:16" x14ac:dyDescent="0.2">
      <c r="D63" s="210"/>
      <c r="E63" s="210"/>
      <c r="F63" s="210"/>
      <c r="G63" s="210"/>
      <c r="H63" s="210"/>
      <c r="I63" s="210"/>
      <c r="J63" s="210"/>
      <c r="K63" s="210"/>
      <c r="L63" s="210"/>
      <c r="M63" s="210"/>
      <c r="N63" s="210"/>
      <c r="O63" s="210"/>
      <c r="P63" s="210"/>
    </row>
    <row r="64" spans="4:16" x14ac:dyDescent="0.2">
      <c r="D64" s="210"/>
      <c r="E64" s="210"/>
      <c r="F64" s="210"/>
      <c r="G64" s="210"/>
      <c r="H64" s="210"/>
      <c r="I64" s="210"/>
      <c r="J64" s="210"/>
      <c r="K64" s="210"/>
      <c r="L64" s="210"/>
      <c r="M64" s="210"/>
      <c r="N64" s="210"/>
      <c r="O64" s="210"/>
      <c r="P64" s="210"/>
    </row>
    <row r="65" spans="4:16" x14ac:dyDescent="0.2">
      <c r="D65" s="210"/>
      <c r="E65" s="210"/>
      <c r="F65" s="210"/>
      <c r="G65" s="210"/>
      <c r="H65" s="210"/>
      <c r="I65" s="210"/>
      <c r="J65" s="210"/>
      <c r="K65" s="210"/>
      <c r="L65" s="210"/>
      <c r="M65" s="210"/>
      <c r="N65" s="210"/>
      <c r="O65" s="210"/>
      <c r="P65" s="210"/>
    </row>
    <row r="66" spans="4:16" x14ac:dyDescent="0.2"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  <c r="O66" s="210"/>
      <c r="P66" s="210"/>
    </row>
    <row r="67" spans="4:16" x14ac:dyDescent="0.2">
      <c r="D67" s="210"/>
      <c r="E67" s="210"/>
      <c r="F67" s="210"/>
      <c r="G67" s="210"/>
      <c r="H67" s="210"/>
      <c r="I67" s="210"/>
      <c r="J67" s="210"/>
      <c r="K67" s="210"/>
      <c r="L67" s="210"/>
      <c r="M67" s="210"/>
      <c r="N67" s="210"/>
      <c r="O67" s="210"/>
      <c r="P67" s="210"/>
    </row>
    <row r="68" spans="4:16" x14ac:dyDescent="0.2"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210"/>
      <c r="O68" s="210"/>
      <c r="P68" s="210"/>
    </row>
    <row r="69" spans="4:16" x14ac:dyDescent="0.2">
      <c r="D69" s="210"/>
      <c r="E69" s="210"/>
      <c r="F69" s="210"/>
      <c r="G69" s="210"/>
      <c r="H69" s="210"/>
      <c r="I69" s="210"/>
      <c r="J69" s="210"/>
      <c r="K69" s="210"/>
      <c r="L69" s="210"/>
      <c r="M69" s="210"/>
      <c r="N69" s="210"/>
      <c r="O69" s="210"/>
      <c r="P69" s="210"/>
    </row>
    <row r="70" spans="4:16" x14ac:dyDescent="0.2">
      <c r="D70" s="210"/>
      <c r="E70" s="210"/>
      <c r="F70" s="210"/>
      <c r="G70" s="210"/>
      <c r="H70" s="210"/>
      <c r="I70" s="210"/>
      <c r="J70" s="210"/>
      <c r="K70" s="210"/>
      <c r="L70" s="210"/>
      <c r="M70" s="210"/>
      <c r="N70" s="210"/>
      <c r="O70" s="210"/>
      <c r="P70" s="210"/>
    </row>
    <row r="71" spans="4:16" x14ac:dyDescent="0.2">
      <c r="D71" s="210"/>
      <c r="E71" s="210"/>
      <c r="F71" s="210"/>
      <c r="G71" s="210"/>
      <c r="H71" s="210"/>
      <c r="I71" s="210"/>
      <c r="J71" s="210"/>
      <c r="K71" s="210"/>
      <c r="L71" s="210"/>
      <c r="M71" s="210"/>
      <c r="N71" s="210"/>
      <c r="O71" s="210"/>
      <c r="P71" s="210"/>
    </row>
    <row r="72" spans="4:16" x14ac:dyDescent="0.2">
      <c r="D72" s="210"/>
      <c r="E72" s="210"/>
      <c r="F72" s="210"/>
      <c r="G72" s="210"/>
      <c r="H72" s="210"/>
      <c r="I72" s="210"/>
      <c r="J72" s="210"/>
      <c r="K72" s="210"/>
      <c r="L72" s="210"/>
      <c r="M72" s="210"/>
      <c r="N72" s="210"/>
      <c r="O72" s="210"/>
      <c r="P72" s="210"/>
    </row>
    <row r="73" spans="4:16" x14ac:dyDescent="0.2">
      <c r="D73" s="210"/>
      <c r="E73" s="210"/>
      <c r="F73" s="210"/>
      <c r="G73" s="210"/>
      <c r="H73" s="210"/>
      <c r="I73" s="210"/>
      <c r="J73" s="210"/>
      <c r="K73" s="210"/>
      <c r="L73" s="210"/>
      <c r="M73" s="210"/>
      <c r="N73" s="210"/>
      <c r="O73" s="210"/>
      <c r="P73" s="210"/>
    </row>
    <row r="74" spans="4:16" x14ac:dyDescent="0.2">
      <c r="D74" s="210"/>
      <c r="E74" s="210"/>
      <c r="F74" s="210"/>
      <c r="G74" s="210"/>
      <c r="H74" s="210"/>
      <c r="I74" s="210"/>
      <c r="J74" s="210"/>
      <c r="K74" s="210"/>
      <c r="L74" s="210"/>
      <c r="M74" s="210"/>
      <c r="N74" s="210"/>
      <c r="O74" s="210"/>
      <c r="P74" s="210"/>
    </row>
    <row r="75" spans="4:16" x14ac:dyDescent="0.2">
      <c r="D75" s="210"/>
      <c r="E75" s="210"/>
      <c r="F75" s="210"/>
      <c r="G75" s="210"/>
      <c r="H75" s="210"/>
      <c r="I75" s="210"/>
      <c r="J75" s="210"/>
      <c r="K75" s="210"/>
      <c r="L75" s="210"/>
      <c r="M75" s="210"/>
      <c r="N75" s="210"/>
      <c r="O75" s="210"/>
      <c r="P75" s="210"/>
    </row>
    <row r="76" spans="4:16" x14ac:dyDescent="0.2"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/>
      <c r="O76" s="210"/>
      <c r="P76" s="210"/>
    </row>
    <row r="77" spans="4:16" x14ac:dyDescent="0.2">
      <c r="D77" s="210"/>
      <c r="E77" s="210"/>
      <c r="F77" s="210"/>
      <c r="G77" s="210"/>
      <c r="H77" s="210"/>
      <c r="I77" s="210"/>
      <c r="J77" s="210"/>
      <c r="K77" s="210"/>
      <c r="L77" s="210"/>
      <c r="M77" s="210"/>
      <c r="N77" s="210"/>
      <c r="O77" s="210"/>
      <c r="P77" s="210"/>
    </row>
    <row r="78" spans="4:16" x14ac:dyDescent="0.2">
      <c r="D78" s="210"/>
      <c r="E78" s="210"/>
      <c r="F78" s="210"/>
      <c r="G78" s="210"/>
      <c r="H78" s="210"/>
      <c r="I78" s="210"/>
      <c r="J78" s="210"/>
      <c r="K78" s="210"/>
      <c r="L78" s="210"/>
      <c r="M78" s="210"/>
      <c r="N78" s="210"/>
      <c r="O78" s="210"/>
      <c r="P78" s="210"/>
    </row>
    <row r="79" spans="4:16" x14ac:dyDescent="0.2">
      <c r="D79" s="210"/>
      <c r="E79" s="210"/>
      <c r="F79" s="210"/>
      <c r="G79" s="210"/>
      <c r="H79" s="210"/>
      <c r="I79" s="210"/>
      <c r="J79" s="210"/>
      <c r="K79" s="210"/>
      <c r="L79" s="210"/>
      <c r="M79" s="210"/>
      <c r="N79" s="210"/>
      <c r="O79" s="210"/>
      <c r="P79" s="210"/>
    </row>
    <row r="80" spans="4:16" x14ac:dyDescent="0.2">
      <c r="D80" s="210"/>
      <c r="E80" s="210"/>
      <c r="F80" s="210"/>
      <c r="G80" s="210"/>
      <c r="H80" s="210"/>
      <c r="I80" s="210"/>
      <c r="J80" s="210"/>
      <c r="K80" s="210"/>
      <c r="L80" s="210"/>
      <c r="M80" s="210"/>
      <c r="N80" s="210"/>
      <c r="O80" s="210"/>
      <c r="P80" s="210"/>
    </row>
    <row r="81" spans="4:16" x14ac:dyDescent="0.2">
      <c r="D81" s="210"/>
      <c r="E81" s="210"/>
      <c r="F81" s="210"/>
      <c r="G81" s="210"/>
      <c r="H81" s="210"/>
      <c r="I81" s="210"/>
      <c r="J81" s="210"/>
      <c r="K81" s="210"/>
      <c r="L81" s="210"/>
      <c r="M81" s="210"/>
      <c r="N81" s="210"/>
      <c r="O81" s="210"/>
      <c r="P81" s="210"/>
    </row>
    <row r="82" spans="4:16" x14ac:dyDescent="0.2">
      <c r="D82" s="210"/>
      <c r="E82" s="210"/>
      <c r="F82" s="210"/>
      <c r="G82" s="210"/>
      <c r="H82" s="210"/>
      <c r="I82" s="210"/>
      <c r="J82" s="210"/>
      <c r="K82" s="210"/>
      <c r="L82" s="210"/>
      <c r="M82" s="210"/>
      <c r="N82" s="210"/>
      <c r="O82" s="210"/>
      <c r="P82" s="210"/>
    </row>
    <row r="83" spans="4:16" x14ac:dyDescent="0.2">
      <c r="D83" s="210"/>
      <c r="E83" s="210"/>
      <c r="F83" s="210"/>
      <c r="G83" s="210"/>
      <c r="H83" s="210"/>
      <c r="I83" s="210"/>
      <c r="J83" s="210"/>
      <c r="K83" s="210"/>
      <c r="L83" s="210"/>
      <c r="M83" s="210"/>
      <c r="N83" s="210"/>
      <c r="O83" s="210"/>
      <c r="P83" s="210"/>
    </row>
    <row r="84" spans="4:16" x14ac:dyDescent="0.2">
      <c r="D84" s="210"/>
      <c r="E84" s="210"/>
      <c r="F84" s="210"/>
      <c r="G84" s="210"/>
      <c r="H84" s="210"/>
      <c r="I84" s="210"/>
      <c r="J84" s="210"/>
      <c r="K84" s="210"/>
      <c r="L84" s="210"/>
      <c r="M84" s="210"/>
      <c r="N84" s="210"/>
      <c r="O84" s="210"/>
      <c r="P84" s="210"/>
    </row>
    <row r="85" spans="4:16" x14ac:dyDescent="0.2">
      <c r="D85" s="210"/>
      <c r="E85" s="210"/>
      <c r="F85" s="210"/>
      <c r="G85" s="210"/>
      <c r="H85" s="210"/>
      <c r="I85" s="210"/>
      <c r="J85" s="210"/>
      <c r="K85" s="210"/>
      <c r="L85" s="210"/>
      <c r="M85" s="210"/>
      <c r="N85" s="210"/>
      <c r="O85" s="210"/>
      <c r="P85" s="210"/>
    </row>
    <row r="86" spans="4:16" x14ac:dyDescent="0.2">
      <c r="D86" s="210"/>
      <c r="E86" s="210"/>
      <c r="F86" s="210"/>
      <c r="G86" s="210"/>
      <c r="H86" s="210"/>
      <c r="I86" s="210"/>
      <c r="J86" s="210"/>
      <c r="K86" s="210"/>
      <c r="L86" s="210"/>
      <c r="M86" s="210"/>
      <c r="N86" s="210"/>
      <c r="O86" s="210"/>
      <c r="P86" s="210"/>
    </row>
    <row r="87" spans="4:16" x14ac:dyDescent="0.2">
      <c r="D87" s="210"/>
      <c r="E87" s="210"/>
      <c r="F87" s="210"/>
      <c r="G87" s="210"/>
      <c r="H87" s="210"/>
      <c r="I87" s="210"/>
      <c r="J87" s="210"/>
      <c r="K87" s="210"/>
      <c r="L87" s="210"/>
      <c r="M87" s="210"/>
      <c r="N87" s="210"/>
      <c r="O87" s="210"/>
      <c r="P87" s="210"/>
    </row>
    <row r="88" spans="4:16" x14ac:dyDescent="0.2">
      <c r="D88" s="210"/>
      <c r="E88" s="210"/>
      <c r="F88" s="210"/>
      <c r="G88" s="210"/>
      <c r="H88" s="210"/>
      <c r="I88" s="210"/>
      <c r="J88" s="210"/>
      <c r="K88" s="210"/>
      <c r="L88" s="210"/>
      <c r="M88" s="210"/>
      <c r="N88" s="210"/>
      <c r="O88" s="210"/>
      <c r="P88" s="210"/>
    </row>
    <row r="89" spans="4:16" x14ac:dyDescent="0.2">
      <c r="D89" s="210"/>
      <c r="E89" s="210"/>
      <c r="F89" s="210"/>
      <c r="G89" s="210"/>
      <c r="H89" s="210"/>
      <c r="I89" s="210"/>
      <c r="J89" s="210"/>
      <c r="K89" s="210"/>
      <c r="L89" s="210"/>
      <c r="M89" s="210"/>
      <c r="N89" s="210"/>
      <c r="O89" s="210"/>
      <c r="P89" s="210"/>
    </row>
    <row r="90" spans="4:16" x14ac:dyDescent="0.2"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  <c r="O90" s="210"/>
      <c r="P90" s="210"/>
    </row>
    <row r="91" spans="4:16" x14ac:dyDescent="0.2"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210"/>
      <c r="O91" s="210"/>
      <c r="P91" s="210"/>
    </row>
    <row r="92" spans="4:16" x14ac:dyDescent="0.2">
      <c r="D92" s="210"/>
      <c r="E92" s="210"/>
      <c r="F92" s="210"/>
      <c r="G92" s="210"/>
      <c r="H92" s="210"/>
      <c r="I92" s="210"/>
      <c r="J92" s="210"/>
      <c r="K92" s="210"/>
      <c r="L92" s="210"/>
      <c r="M92" s="210"/>
      <c r="N92" s="210"/>
      <c r="O92" s="210"/>
      <c r="P92" s="210"/>
    </row>
    <row r="93" spans="4:16" x14ac:dyDescent="0.2">
      <c r="D93" s="210"/>
      <c r="E93" s="210"/>
      <c r="F93" s="210"/>
      <c r="G93" s="210"/>
      <c r="H93" s="210"/>
      <c r="I93" s="210"/>
      <c r="J93" s="210"/>
      <c r="K93" s="210"/>
      <c r="L93" s="210"/>
      <c r="M93" s="210"/>
      <c r="N93" s="210"/>
      <c r="O93" s="210"/>
      <c r="P93" s="210"/>
    </row>
    <row r="94" spans="4:16" x14ac:dyDescent="0.2"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</row>
    <row r="95" spans="4:16" x14ac:dyDescent="0.2">
      <c r="D95" s="210"/>
      <c r="E95" s="210"/>
      <c r="F95" s="210"/>
      <c r="G95" s="210"/>
      <c r="H95" s="210"/>
      <c r="I95" s="210"/>
      <c r="J95" s="210"/>
      <c r="K95" s="210"/>
      <c r="L95" s="210"/>
      <c r="M95" s="210"/>
      <c r="N95" s="210"/>
      <c r="O95" s="210"/>
      <c r="P95" s="210"/>
    </row>
    <row r="96" spans="4:16" x14ac:dyDescent="0.2">
      <c r="D96" s="210"/>
      <c r="E96" s="210"/>
      <c r="F96" s="210"/>
      <c r="G96" s="210"/>
      <c r="H96" s="210"/>
      <c r="I96" s="210"/>
      <c r="J96" s="210"/>
      <c r="K96" s="210"/>
      <c r="L96" s="210"/>
      <c r="M96" s="210"/>
      <c r="N96" s="210"/>
      <c r="O96" s="210"/>
      <c r="P96" s="210"/>
    </row>
    <row r="97" spans="4:16" x14ac:dyDescent="0.2">
      <c r="D97" s="210"/>
      <c r="E97" s="210"/>
      <c r="F97" s="210"/>
      <c r="G97" s="210"/>
      <c r="H97" s="210"/>
      <c r="I97" s="210"/>
      <c r="J97" s="210"/>
      <c r="K97" s="210"/>
      <c r="L97" s="210"/>
      <c r="M97" s="210"/>
      <c r="N97" s="210"/>
      <c r="O97" s="210"/>
      <c r="P97" s="210"/>
    </row>
  </sheetData>
  <pageMargins left="0.2" right="0.2" top="0.25" bottom="0.2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2"/>
  <sheetViews>
    <sheetView showGridLines="0" topLeftCell="F8" zoomScale="93" zoomScaleNormal="93" zoomScaleSheetLayoutView="91" workbookViewId="0">
      <selection activeCell="F10" sqref="F10:L21"/>
    </sheetView>
  </sheetViews>
  <sheetFormatPr defaultColWidth="9.28515625" defaultRowHeight="14.25" x14ac:dyDescent="0.2"/>
  <cols>
    <col min="1" max="1" width="3" style="13" customWidth="1"/>
    <col min="2" max="2" width="5.7109375" style="13" customWidth="1"/>
    <col min="3" max="3" width="37" style="13" customWidth="1"/>
    <col min="4" max="5" width="11.5703125" style="13" customWidth="1"/>
    <col min="6" max="6" width="12.7109375" style="13" customWidth="1"/>
    <col min="7" max="7" width="11" style="13" customWidth="1"/>
    <col min="8" max="8" width="14.7109375" style="13" customWidth="1"/>
    <col min="9" max="9" width="13.42578125" style="13" customWidth="1"/>
    <col min="10" max="10" width="11.140625" style="13" customWidth="1"/>
    <col min="11" max="12" width="13.5703125" style="13" customWidth="1"/>
    <col min="13" max="13" width="10.5703125" style="13" customWidth="1"/>
    <col min="14" max="16384" width="9.28515625" style="13"/>
  </cols>
  <sheetData>
    <row r="2" spans="2:13" ht="15" x14ac:dyDescent="0.2">
      <c r="C2" s="5"/>
      <c r="D2" s="5"/>
      <c r="E2" s="5"/>
      <c r="F2" s="32" t="s">
        <v>303</v>
      </c>
      <c r="G2" s="5"/>
      <c r="H2" s="5"/>
      <c r="I2" s="5"/>
      <c r="J2" s="5"/>
      <c r="K2" s="5"/>
      <c r="L2" s="5"/>
      <c r="M2" s="5"/>
    </row>
    <row r="3" spans="2:13" ht="15" x14ac:dyDescent="0.2">
      <c r="C3" s="5"/>
      <c r="D3" s="5"/>
      <c r="E3" s="5"/>
      <c r="F3" s="32" t="s">
        <v>334</v>
      </c>
      <c r="G3" s="5"/>
      <c r="H3" s="5"/>
      <c r="I3" s="5"/>
      <c r="J3" s="5"/>
      <c r="K3" s="5"/>
      <c r="L3" s="5"/>
      <c r="M3" s="5"/>
    </row>
    <row r="4" spans="2:13" s="4" customFormat="1" ht="15.75" x14ac:dyDescent="0.2">
      <c r="C4" s="5"/>
      <c r="D4" s="5"/>
      <c r="F4" s="64" t="s">
        <v>307</v>
      </c>
      <c r="G4" s="5"/>
      <c r="H4" s="5"/>
      <c r="I4" s="5"/>
      <c r="J4" s="5"/>
      <c r="K4" s="5"/>
      <c r="L4" s="5"/>
      <c r="M4" s="5"/>
    </row>
    <row r="6" spans="2:13" ht="12.75" customHeight="1" x14ac:dyDescent="0.2">
      <c r="B6" s="221" t="s">
        <v>169</v>
      </c>
      <c r="C6" s="224" t="s">
        <v>18</v>
      </c>
      <c r="D6" s="218" t="s">
        <v>39</v>
      </c>
      <c r="E6" s="224" t="s">
        <v>1</v>
      </c>
      <c r="F6" s="228" t="s">
        <v>304</v>
      </c>
      <c r="G6" s="229"/>
      <c r="H6" s="230"/>
      <c r="I6" s="228" t="s">
        <v>305</v>
      </c>
      <c r="J6" s="230"/>
      <c r="K6" s="228" t="s">
        <v>332</v>
      </c>
      <c r="L6" s="230"/>
      <c r="M6" s="226" t="s">
        <v>11</v>
      </c>
    </row>
    <row r="7" spans="2:13" ht="60" customHeight="1" x14ac:dyDescent="0.2">
      <c r="B7" s="222"/>
      <c r="C7" s="224"/>
      <c r="D7" s="219"/>
      <c r="E7" s="224"/>
      <c r="F7" s="15" t="s">
        <v>276</v>
      </c>
      <c r="G7" s="15" t="s">
        <v>201</v>
      </c>
      <c r="H7" s="15" t="s">
        <v>331</v>
      </c>
      <c r="I7" s="15" t="s">
        <v>276</v>
      </c>
      <c r="J7" s="15" t="s">
        <v>203</v>
      </c>
      <c r="K7" s="15" t="s">
        <v>276</v>
      </c>
      <c r="L7" s="15" t="s">
        <v>203</v>
      </c>
      <c r="M7" s="226"/>
    </row>
    <row r="8" spans="2:13" ht="30" x14ac:dyDescent="0.2">
      <c r="B8" s="223"/>
      <c r="C8" s="225"/>
      <c r="D8" s="220"/>
      <c r="E8" s="225"/>
      <c r="F8" s="15" t="s">
        <v>10</v>
      </c>
      <c r="G8" s="15" t="s">
        <v>12</v>
      </c>
      <c r="H8" s="15" t="s">
        <v>202</v>
      </c>
      <c r="I8" s="15" t="s">
        <v>10</v>
      </c>
      <c r="J8" s="15" t="s">
        <v>328</v>
      </c>
      <c r="K8" s="15" t="s">
        <v>10</v>
      </c>
      <c r="L8" s="15" t="s">
        <v>328</v>
      </c>
      <c r="M8" s="227"/>
    </row>
    <row r="9" spans="2:13" ht="15" x14ac:dyDescent="0.2">
      <c r="B9" s="22" t="s">
        <v>55</v>
      </c>
      <c r="C9" s="23" t="s">
        <v>206</v>
      </c>
      <c r="D9" s="20"/>
      <c r="E9" s="20"/>
      <c r="F9" s="15"/>
      <c r="G9" s="15"/>
      <c r="H9" s="15"/>
      <c r="I9" s="15"/>
      <c r="J9" s="15"/>
      <c r="K9" s="15"/>
      <c r="L9" s="15"/>
      <c r="M9" s="21"/>
    </row>
    <row r="10" spans="2:13" ht="15" x14ac:dyDescent="0.2">
      <c r="B10" s="2">
        <v>1</v>
      </c>
      <c r="C10" s="3" t="s">
        <v>36</v>
      </c>
      <c r="D10" s="2" t="s">
        <v>180</v>
      </c>
      <c r="E10" s="17" t="s">
        <v>237</v>
      </c>
      <c r="F10" s="139">
        <f>'F2'!E14</f>
        <v>117.51</v>
      </c>
      <c r="G10" s="139">
        <f>'F2'!F14</f>
        <v>187.91</v>
      </c>
      <c r="H10" s="139">
        <f>'F2'!G14</f>
        <v>187.91</v>
      </c>
      <c r="I10" s="139">
        <f>'F2'!H14</f>
        <v>124.54</v>
      </c>
      <c r="J10" s="139">
        <f>'F2'!I14</f>
        <v>199.36</v>
      </c>
      <c r="K10" s="139">
        <f>'F2'!J14</f>
        <v>131.58000000000001</v>
      </c>
      <c r="L10" s="139">
        <f>'F2'!K14</f>
        <v>207.74</v>
      </c>
      <c r="M10" s="107"/>
    </row>
    <row r="11" spans="2:13" ht="15" x14ac:dyDescent="0.2">
      <c r="B11" s="2">
        <f t="shared" ref="B11:B16" si="0">B10+1</f>
        <v>2</v>
      </c>
      <c r="C11" s="18" t="s">
        <v>148</v>
      </c>
      <c r="D11" s="2" t="s">
        <v>180</v>
      </c>
      <c r="E11" s="17" t="s">
        <v>23</v>
      </c>
      <c r="F11" s="140">
        <v>87.97</v>
      </c>
      <c r="G11" s="140">
        <f>H11</f>
        <v>58.92</v>
      </c>
      <c r="H11" s="139">
        <f>'F4'!K21</f>
        <v>58.92</v>
      </c>
      <c r="I11" s="141">
        <v>87.97</v>
      </c>
      <c r="J11" s="139">
        <f>'F4'!K37</f>
        <v>59.08</v>
      </c>
      <c r="K11" s="141">
        <v>87.97</v>
      </c>
      <c r="L11" s="139">
        <f>'F4'!K53</f>
        <v>59.07</v>
      </c>
      <c r="M11" s="107"/>
    </row>
    <row r="12" spans="2:13" ht="15" x14ac:dyDescent="0.2">
      <c r="B12" s="2">
        <f t="shared" si="0"/>
        <v>3</v>
      </c>
      <c r="C12" s="3" t="s">
        <v>204</v>
      </c>
      <c r="D12" s="2" t="s">
        <v>180</v>
      </c>
      <c r="E12" s="16" t="s">
        <v>29</v>
      </c>
      <c r="F12" s="139">
        <f>'F5'!D21</f>
        <v>0</v>
      </c>
      <c r="G12" s="139">
        <f>'F5'!E21</f>
        <v>5.68</v>
      </c>
      <c r="H12" s="139">
        <f>'F5'!F21</f>
        <v>5.68</v>
      </c>
      <c r="I12" s="139">
        <f>'F5'!G21</f>
        <v>0</v>
      </c>
      <c r="J12" s="139">
        <f>'F5'!H21</f>
        <v>1.45</v>
      </c>
      <c r="K12" s="139">
        <f>'F5'!I21</f>
        <v>0</v>
      </c>
      <c r="L12" s="139">
        <f>'F5'!J21</f>
        <v>0</v>
      </c>
      <c r="M12" s="107"/>
    </row>
    <row r="13" spans="2:13" ht="15" x14ac:dyDescent="0.2">
      <c r="B13" s="2">
        <f t="shared" si="0"/>
        <v>4</v>
      </c>
      <c r="C13" s="18" t="s">
        <v>37</v>
      </c>
      <c r="D13" s="2" t="s">
        <v>180</v>
      </c>
      <c r="E13" s="16" t="s">
        <v>30</v>
      </c>
      <c r="F13" s="139">
        <f>'F6'!D19</f>
        <v>6.5</v>
      </c>
      <c r="G13" s="139">
        <f ca="1">'F6'!E19</f>
        <v>8.6</v>
      </c>
      <c r="H13" s="139">
        <f ca="1">'F6'!F19</f>
        <v>8.6</v>
      </c>
      <c r="I13" s="139">
        <f>'F6'!G19</f>
        <v>7.03</v>
      </c>
      <c r="J13" s="139">
        <f ca="1">'F6'!H19</f>
        <v>8.66</v>
      </c>
      <c r="K13" s="139">
        <f>'F6'!I19</f>
        <v>7.18</v>
      </c>
      <c r="L13" s="139">
        <f ca="1">'F6'!J19</f>
        <v>8.82</v>
      </c>
      <c r="M13" s="107"/>
    </row>
    <row r="14" spans="2:13" ht="15" x14ac:dyDescent="0.2">
      <c r="B14" s="2">
        <f t="shared" si="0"/>
        <v>5</v>
      </c>
      <c r="C14" s="3" t="s">
        <v>205</v>
      </c>
      <c r="D14" s="2" t="s">
        <v>180</v>
      </c>
      <c r="E14" s="16" t="s">
        <v>31</v>
      </c>
      <c r="F14" s="139">
        <f>'F7'!D21</f>
        <v>73.069999999999993</v>
      </c>
      <c r="G14" s="139">
        <f>'F7'!E21</f>
        <v>127.3</v>
      </c>
      <c r="H14" s="139">
        <f>'F7'!F21</f>
        <v>127.3</v>
      </c>
      <c r="I14" s="139">
        <f>'F7'!G21</f>
        <v>97.82</v>
      </c>
      <c r="J14" s="139">
        <f>'F7'!H21</f>
        <v>127.36</v>
      </c>
      <c r="K14" s="139">
        <f>'F7'!I21</f>
        <v>97.82</v>
      </c>
      <c r="L14" s="139">
        <f>'F7'!J21</f>
        <v>127.36</v>
      </c>
      <c r="M14" s="107"/>
    </row>
    <row r="15" spans="2:13" ht="15" x14ac:dyDescent="0.2">
      <c r="B15" s="2">
        <f t="shared" si="0"/>
        <v>6</v>
      </c>
      <c r="C15" s="3" t="s">
        <v>38</v>
      </c>
      <c r="D15" s="2" t="s">
        <v>180</v>
      </c>
      <c r="E15" s="16" t="s">
        <v>32</v>
      </c>
      <c r="F15" s="139">
        <f>'F8'!D29</f>
        <v>1</v>
      </c>
      <c r="G15" s="139">
        <f>'F8'!E29</f>
        <v>1.6</v>
      </c>
      <c r="H15" s="139">
        <f>G15</f>
        <v>1.6</v>
      </c>
      <c r="I15" s="139">
        <f>'F8'!G29</f>
        <v>1.04</v>
      </c>
      <c r="J15" s="139">
        <f>'F8'!H29</f>
        <v>1.69</v>
      </c>
      <c r="K15" s="139">
        <f>'F8'!I29</f>
        <v>1.08</v>
      </c>
      <c r="L15" s="139">
        <f>'F8'!J29</f>
        <v>1.76</v>
      </c>
      <c r="M15" s="107"/>
    </row>
    <row r="16" spans="2:13" ht="15" x14ac:dyDescent="0.2">
      <c r="B16" s="14">
        <f t="shared" si="0"/>
        <v>7</v>
      </c>
      <c r="C16" s="19" t="s">
        <v>206</v>
      </c>
      <c r="D16" s="14" t="s">
        <v>180</v>
      </c>
      <c r="E16" s="16"/>
      <c r="F16" s="139">
        <f>SUM(F10:F14)-F15</f>
        <v>284.05</v>
      </c>
      <c r="G16" s="139">
        <f ca="1">SUM(G10:G14)-G15</f>
        <v>386.81</v>
      </c>
      <c r="H16" s="139">
        <f t="shared" ref="H16:J16" ca="1" si="1">SUM(H10:H14)-H15</f>
        <v>386.81</v>
      </c>
      <c r="I16" s="139">
        <f t="shared" si="1"/>
        <v>316.32</v>
      </c>
      <c r="J16" s="139">
        <f t="shared" ca="1" si="1"/>
        <v>394.22</v>
      </c>
      <c r="K16" s="139">
        <f>SUM(K10:K14)-K15</f>
        <v>323.47000000000003</v>
      </c>
      <c r="L16" s="139">
        <f t="shared" ref="L16" ca="1" si="2">SUM(L10:L14)-L15</f>
        <v>401.23</v>
      </c>
      <c r="M16" s="107"/>
    </row>
    <row r="17" spans="2:13" ht="15" x14ac:dyDescent="0.2">
      <c r="B17" s="14" t="s">
        <v>59</v>
      </c>
      <c r="C17" s="14" t="s">
        <v>207</v>
      </c>
      <c r="D17" s="16"/>
      <c r="E17" s="16"/>
      <c r="F17" s="108"/>
      <c r="G17" s="108"/>
      <c r="H17" s="108"/>
      <c r="I17" s="108"/>
      <c r="J17" s="108"/>
      <c r="K17" s="108"/>
      <c r="L17" s="108"/>
      <c r="M17" s="3"/>
    </row>
    <row r="18" spans="2:13" ht="15" x14ac:dyDescent="0.2">
      <c r="B18" s="2">
        <v>1</v>
      </c>
      <c r="C18" s="16" t="s">
        <v>208</v>
      </c>
      <c r="D18" s="2" t="s">
        <v>179</v>
      </c>
      <c r="E18" s="16" t="s">
        <v>145</v>
      </c>
      <c r="F18" s="142"/>
      <c r="G18" s="142"/>
      <c r="H18" s="142"/>
      <c r="I18" s="142"/>
      <c r="J18" s="142"/>
      <c r="K18" s="142"/>
      <c r="L18" s="142"/>
      <c r="M18" s="3"/>
    </row>
    <row r="19" spans="2:13" ht="15" x14ac:dyDescent="0.2">
      <c r="B19" s="2">
        <f>B18+1</f>
        <v>2</v>
      </c>
      <c r="C19" s="16" t="s">
        <v>209</v>
      </c>
      <c r="D19" s="2" t="s">
        <v>42</v>
      </c>
      <c r="E19" s="16" t="s">
        <v>34</v>
      </c>
      <c r="F19" s="139"/>
      <c r="G19" s="139"/>
      <c r="H19" s="139"/>
      <c r="I19" s="139"/>
      <c r="J19" s="139"/>
      <c r="K19" s="139"/>
      <c r="L19" s="139"/>
      <c r="M19" s="3"/>
    </row>
    <row r="20" spans="2:13" ht="15" x14ac:dyDescent="0.2">
      <c r="B20" s="2">
        <f>B19+1</f>
        <v>3</v>
      </c>
      <c r="C20" s="16" t="s">
        <v>207</v>
      </c>
      <c r="D20" s="2" t="s">
        <v>180</v>
      </c>
      <c r="E20" s="16"/>
      <c r="F20" s="139"/>
      <c r="G20" s="139"/>
      <c r="H20" s="139"/>
      <c r="I20" s="139"/>
      <c r="J20" s="139"/>
      <c r="K20" s="139"/>
      <c r="L20" s="139"/>
      <c r="M20" s="3"/>
    </row>
    <row r="21" spans="2:13" ht="15" x14ac:dyDescent="0.2">
      <c r="B21" s="14" t="s">
        <v>60</v>
      </c>
      <c r="C21" s="14" t="s">
        <v>296</v>
      </c>
      <c r="D21" s="2" t="s">
        <v>180</v>
      </c>
      <c r="E21" s="3"/>
      <c r="F21" s="143">
        <f>F16+F20</f>
        <v>284.05</v>
      </c>
      <c r="G21" s="139">
        <f t="shared" ref="G21:L21" ca="1" si="3">G16+G20</f>
        <v>386.81</v>
      </c>
      <c r="H21" s="139">
        <f t="shared" ca="1" si="3"/>
        <v>386.81</v>
      </c>
      <c r="I21" s="139">
        <f t="shared" si="3"/>
        <v>316.32</v>
      </c>
      <c r="J21" s="139">
        <f t="shared" ca="1" si="3"/>
        <v>394.22</v>
      </c>
      <c r="K21" s="139">
        <f t="shared" si="3"/>
        <v>323.47000000000003</v>
      </c>
      <c r="L21" s="139">
        <f t="shared" ca="1" si="3"/>
        <v>401.23</v>
      </c>
      <c r="M21" s="3"/>
    </row>
    <row r="22" spans="2:13" x14ac:dyDescent="0.2">
      <c r="F22" s="120"/>
    </row>
  </sheetData>
  <mergeCells count="8">
    <mergeCell ref="D6:D8"/>
    <mergeCell ref="B6:B8"/>
    <mergeCell ref="C6:C8"/>
    <mergeCell ref="E6:E8"/>
    <mergeCell ref="M6:M8"/>
    <mergeCell ref="F6:H6"/>
    <mergeCell ref="I6:J6"/>
    <mergeCell ref="K6:L6"/>
  </mergeCells>
  <pageMargins left="0.23" right="0.23" top="0.92" bottom="1" header="0.5" footer="0.5"/>
  <pageSetup paperSize="9" scale="8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"/>
  <sheetViews>
    <sheetView showGridLines="0" view="pageBreakPreview" zoomScale="95" zoomScaleNormal="95" zoomScaleSheetLayoutView="95" workbookViewId="0">
      <selection activeCell="K14" sqref="K14"/>
    </sheetView>
  </sheetViews>
  <sheetFormatPr defaultColWidth="9.28515625" defaultRowHeight="14.25" x14ac:dyDescent="0.2"/>
  <cols>
    <col min="1" max="1" width="3.28515625" style="5" customWidth="1"/>
    <col min="2" max="2" width="5.7109375" style="5" customWidth="1"/>
    <col min="3" max="3" width="20.7109375" style="5" customWidth="1"/>
    <col min="4" max="4" width="11.85546875" style="5" customWidth="1"/>
    <col min="5" max="5" width="11.5703125" style="5" customWidth="1"/>
    <col min="6" max="6" width="11.7109375" style="5" customWidth="1"/>
    <col min="7" max="7" width="10.7109375" style="5" customWidth="1"/>
    <col min="8" max="8" width="11.42578125" style="5" customWidth="1"/>
    <col min="9" max="9" width="10.28515625" style="5" customWidth="1"/>
    <col min="10" max="10" width="11.42578125" style="5" customWidth="1"/>
    <col min="11" max="11" width="10" style="5" customWidth="1"/>
    <col min="12" max="16384" width="9.28515625" style="5"/>
  </cols>
  <sheetData>
    <row r="1" spans="2:11" ht="15" x14ac:dyDescent="0.2">
      <c r="C1" s="36"/>
      <c r="D1" s="36"/>
      <c r="E1" s="36"/>
      <c r="F1" s="36"/>
      <c r="G1" s="36"/>
      <c r="I1" s="33"/>
      <c r="J1" s="33"/>
      <c r="K1" s="36"/>
    </row>
    <row r="2" spans="2:11" ht="15" x14ac:dyDescent="0.2">
      <c r="B2" s="231" t="s">
        <v>303</v>
      </c>
      <c r="C2" s="231"/>
      <c r="D2" s="231"/>
      <c r="E2" s="231"/>
      <c r="F2" s="231"/>
      <c r="G2" s="231"/>
      <c r="H2" s="231"/>
      <c r="I2" s="231"/>
      <c r="J2" s="231"/>
      <c r="K2" s="231"/>
    </row>
    <row r="3" spans="2:11" ht="15" x14ac:dyDescent="0.2">
      <c r="B3" s="35"/>
      <c r="C3" s="35"/>
      <c r="D3" s="35"/>
      <c r="E3" s="35"/>
      <c r="F3" s="35" t="str">
        <f>'F1'!$F$3</f>
        <v>Nagarjuna Sagar HES</v>
      </c>
      <c r="G3" s="35"/>
      <c r="H3" s="35"/>
      <c r="I3" s="35"/>
      <c r="J3" s="35"/>
      <c r="K3" s="35"/>
    </row>
    <row r="4" spans="2:11" ht="15" x14ac:dyDescent="0.2">
      <c r="B4" s="231" t="s">
        <v>283</v>
      </c>
      <c r="C4" s="231"/>
      <c r="D4" s="231"/>
      <c r="E4" s="231"/>
      <c r="F4" s="231"/>
      <c r="G4" s="231"/>
      <c r="H4" s="231"/>
      <c r="I4" s="231"/>
      <c r="J4" s="231"/>
      <c r="K4" s="231"/>
    </row>
    <row r="5" spans="2:11" ht="15" x14ac:dyDescent="0.2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2:11" ht="15" x14ac:dyDescent="0.2">
      <c r="B6" s="232" t="s">
        <v>56</v>
      </c>
      <c r="C6" s="232"/>
      <c r="D6" s="232"/>
      <c r="E6" s="232"/>
      <c r="F6" s="232"/>
      <c r="G6" s="232"/>
      <c r="H6" s="232"/>
      <c r="I6" s="232"/>
      <c r="J6" s="232"/>
      <c r="K6" s="232"/>
    </row>
    <row r="7" spans="2:11" ht="15" x14ac:dyDescent="0.2">
      <c r="K7" s="26" t="s">
        <v>4</v>
      </c>
    </row>
    <row r="8" spans="2:11" ht="15" customHeight="1" x14ac:dyDescent="0.2">
      <c r="B8" s="233" t="s">
        <v>169</v>
      </c>
      <c r="C8" s="233" t="s">
        <v>18</v>
      </c>
      <c r="D8" s="234" t="s">
        <v>1</v>
      </c>
      <c r="E8" s="228" t="s">
        <v>304</v>
      </c>
      <c r="F8" s="229"/>
      <c r="G8" s="230"/>
      <c r="H8" s="228" t="s">
        <v>305</v>
      </c>
      <c r="I8" s="230"/>
      <c r="J8" s="228" t="s">
        <v>332</v>
      </c>
      <c r="K8" s="230"/>
    </row>
    <row r="9" spans="2:11" ht="75" x14ac:dyDescent="0.2">
      <c r="B9" s="233"/>
      <c r="C9" s="233"/>
      <c r="D9" s="235"/>
      <c r="E9" s="15" t="s">
        <v>276</v>
      </c>
      <c r="F9" s="15" t="s">
        <v>211</v>
      </c>
      <c r="G9" s="15" t="s">
        <v>330</v>
      </c>
      <c r="H9" s="15" t="s">
        <v>276</v>
      </c>
      <c r="I9" s="15" t="s">
        <v>210</v>
      </c>
      <c r="J9" s="15" t="s">
        <v>276</v>
      </c>
      <c r="K9" s="15" t="s">
        <v>210</v>
      </c>
    </row>
    <row r="10" spans="2:11" ht="30" x14ac:dyDescent="0.2">
      <c r="B10" s="233"/>
      <c r="C10" s="233"/>
      <c r="D10" s="236"/>
      <c r="E10" s="15" t="s">
        <v>10</v>
      </c>
      <c r="F10" s="15" t="s">
        <v>12</v>
      </c>
      <c r="G10" s="15" t="s">
        <v>202</v>
      </c>
      <c r="H10" s="15" t="s">
        <v>10</v>
      </c>
      <c r="I10" s="15" t="s">
        <v>328</v>
      </c>
      <c r="J10" s="15" t="s">
        <v>10</v>
      </c>
      <c r="K10" s="15" t="s">
        <v>328</v>
      </c>
    </row>
    <row r="11" spans="2:11" x14ac:dyDescent="0.2">
      <c r="B11" s="20">
        <v>1</v>
      </c>
      <c r="C11" s="29" t="s">
        <v>57</v>
      </c>
      <c r="D11" s="29" t="s">
        <v>24</v>
      </c>
      <c r="E11" s="106"/>
      <c r="F11" s="122">
        <f>F2.1!D36</f>
        <v>168.02</v>
      </c>
      <c r="G11" s="122">
        <f>F11</f>
        <v>168.02</v>
      </c>
      <c r="H11" s="106"/>
      <c r="I11" s="122">
        <f>F2.1!E36</f>
        <v>177.95</v>
      </c>
      <c r="J11" s="106"/>
      <c r="K11" s="122">
        <f>F2.1!F36</f>
        <v>185.06</v>
      </c>
    </row>
    <row r="12" spans="2:11" x14ac:dyDescent="0.2">
      <c r="B12" s="20">
        <f>B11+1</f>
        <v>2</v>
      </c>
      <c r="C12" s="37" t="s">
        <v>212</v>
      </c>
      <c r="D12" s="37" t="s">
        <v>25</v>
      </c>
      <c r="E12" s="111"/>
      <c r="F12" s="123">
        <f>F2.2!D38</f>
        <v>10.19</v>
      </c>
      <c r="G12" s="122">
        <f t="shared" ref="G12:G13" si="0">F12</f>
        <v>10.19</v>
      </c>
      <c r="H12" s="106"/>
      <c r="I12" s="122">
        <f>F2.2!E38</f>
        <v>11.06</v>
      </c>
      <c r="J12" s="106"/>
      <c r="K12" s="122">
        <f>F2.2!F38</f>
        <v>11.72</v>
      </c>
    </row>
    <row r="13" spans="2:11" x14ac:dyDescent="0.2">
      <c r="B13" s="20">
        <f>B12+1</f>
        <v>3</v>
      </c>
      <c r="C13" s="29" t="s">
        <v>184</v>
      </c>
      <c r="D13" s="29" t="s">
        <v>238</v>
      </c>
      <c r="E13" s="106"/>
      <c r="F13" s="122">
        <f>F2.3!D18</f>
        <v>9.6999999999999993</v>
      </c>
      <c r="G13" s="122">
        <f t="shared" si="0"/>
        <v>9.6999999999999993</v>
      </c>
      <c r="H13" s="106"/>
      <c r="I13" s="122">
        <f>F2.3!E18</f>
        <v>10.35</v>
      </c>
      <c r="J13" s="106"/>
      <c r="K13" s="122">
        <f>F2.3!F18</f>
        <v>10.96</v>
      </c>
    </row>
    <row r="14" spans="2:11" ht="15" x14ac:dyDescent="0.2">
      <c r="B14" s="20">
        <f>B13+1</f>
        <v>4</v>
      </c>
      <c r="C14" s="29" t="s">
        <v>58</v>
      </c>
      <c r="D14" s="29"/>
      <c r="E14" s="124">
        <v>117.51</v>
      </c>
      <c r="F14" s="124">
        <f t="shared" ref="F14:K14" si="1">ROUND(SUM(F11:F13),2)</f>
        <v>187.91</v>
      </c>
      <c r="G14" s="124">
        <f t="shared" si="1"/>
        <v>187.91</v>
      </c>
      <c r="H14" s="124">
        <v>124.54</v>
      </c>
      <c r="I14" s="124">
        <f t="shared" si="1"/>
        <v>199.36</v>
      </c>
      <c r="J14" s="124">
        <v>131.58000000000001</v>
      </c>
      <c r="K14" s="124">
        <f t="shared" si="1"/>
        <v>207.74</v>
      </c>
    </row>
    <row r="15" spans="2:11" x14ac:dyDescent="0.2">
      <c r="B15" s="49" t="s">
        <v>213</v>
      </c>
      <c r="C15" s="50"/>
      <c r="D15" s="47"/>
      <c r="E15" s="135"/>
      <c r="F15" s="47"/>
      <c r="G15" s="48"/>
      <c r="H15" s="48"/>
      <c r="I15" s="48"/>
      <c r="J15" s="48"/>
      <c r="K15" s="48"/>
    </row>
    <row r="16" spans="2:11" x14ac:dyDescent="0.2">
      <c r="B16" s="51">
        <v>1</v>
      </c>
      <c r="C16" s="50" t="s">
        <v>214</v>
      </c>
    </row>
  </sheetData>
  <mergeCells count="9">
    <mergeCell ref="B4:K4"/>
    <mergeCell ref="B2:K2"/>
    <mergeCell ref="B6:K6"/>
    <mergeCell ref="B8:B10"/>
    <mergeCell ref="C8:C10"/>
    <mergeCell ref="H8:I8"/>
    <mergeCell ref="E8:G8"/>
    <mergeCell ref="D8:D10"/>
    <mergeCell ref="J8:K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8"/>
  <sheetViews>
    <sheetView showGridLines="0" view="pageBreakPreview" topLeftCell="A23" zoomScale="98" zoomScaleNormal="95" zoomScaleSheetLayoutView="98" workbookViewId="0">
      <selection activeCell="F36" sqref="F36"/>
    </sheetView>
  </sheetViews>
  <sheetFormatPr defaultColWidth="9.28515625" defaultRowHeight="14.25" x14ac:dyDescent="0.2"/>
  <cols>
    <col min="1" max="1" width="4.140625" style="13" customWidth="1"/>
    <col min="2" max="2" width="7" style="13" customWidth="1"/>
    <col min="3" max="3" width="40.7109375" style="13" customWidth="1"/>
    <col min="4" max="4" width="12.7109375" style="13" customWidth="1"/>
    <col min="5" max="5" width="13.28515625" style="13" customWidth="1"/>
    <col min="6" max="6" width="11.85546875" style="13" customWidth="1"/>
    <col min="7" max="7" width="9.28515625" style="13"/>
    <col min="8" max="8" width="16.28515625" style="13" bestFit="1" customWidth="1"/>
    <col min="9" max="16384" width="9.28515625" style="13"/>
  </cols>
  <sheetData>
    <row r="2" spans="2:8" ht="14.25" customHeight="1" x14ac:dyDescent="0.2">
      <c r="B2" s="231" t="s">
        <v>303</v>
      </c>
      <c r="C2" s="231"/>
      <c r="D2" s="231"/>
      <c r="E2" s="231"/>
      <c r="F2" s="231"/>
    </row>
    <row r="3" spans="2:8" ht="14.25" customHeight="1" x14ac:dyDescent="0.2">
      <c r="B3" s="231" t="str">
        <f>'F1'!$F$3</f>
        <v>Nagarjuna Sagar HES</v>
      </c>
      <c r="C3" s="231"/>
      <c r="D3" s="231"/>
      <c r="E3" s="231"/>
      <c r="F3" s="231"/>
    </row>
    <row r="4" spans="2:8" s="4" customFormat="1" ht="14.25" customHeight="1" x14ac:dyDescent="0.2">
      <c r="B4" s="231" t="s">
        <v>239</v>
      </c>
      <c r="C4" s="231"/>
      <c r="D4" s="231"/>
      <c r="E4" s="231"/>
      <c r="F4" s="231"/>
    </row>
    <row r="5" spans="2:8" s="4" customFormat="1" ht="3" customHeight="1" x14ac:dyDescent="0.25">
      <c r="C5" s="40"/>
      <c r="D5" s="41"/>
      <c r="E5" s="41"/>
    </row>
    <row r="6" spans="2:8" ht="15" x14ac:dyDescent="0.2">
      <c r="F6" s="26" t="s">
        <v>4</v>
      </c>
    </row>
    <row r="7" spans="2:8" ht="12.75" customHeight="1" x14ac:dyDescent="0.2">
      <c r="B7" s="224" t="s">
        <v>2</v>
      </c>
      <c r="C7" s="224" t="s">
        <v>18</v>
      </c>
      <c r="D7" s="15" t="s">
        <v>304</v>
      </c>
      <c r="E7" s="15" t="s">
        <v>305</v>
      </c>
      <c r="F7" s="23" t="s">
        <v>332</v>
      </c>
    </row>
    <row r="8" spans="2:8" ht="15" x14ac:dyDescent="0.2">
      <c r="B8" s="224"/>
      <c r="C8" s="224"/>
      <c r="D8" s="15" t="s">
        <v>211</v>
      </c>
      <c r="E8" s="15" t="s">
        <v>210</v>
      </c>
      <c r="F8" s="15" t="s">
        <v>210</v>
      </c>
    </row>
    <row r="9" spans="2:8" ht="15" x14ac:dyDescent="0.2">
      <c r="B9" s="237"/>
      <c r="C9" s="224"/>
      <c r="D9" s="15" t="s">
        <v>12</v>
      </c>
      <c r="E9" s="15" t="s">
        <v>5</v>
      </c>
      <c r="F9" s="15" t="s">
        <v>8</v>
      </c>
    </row>
    <row r="10" spans="2:8" ht="18" customHeight="1" x14ac:dyDescent="0.2">
      <c r="B10" s="2">
        <v>1</v>
      </c>
      <c r="C10" s="42" t="s">
        <v>61</v>
      </c>
      <c r="D10" s="186">
        <v>75.872743756523249</v>
      </c>
      <c r="E10" s="186">
        <v>79.537994052328557</v>
      </c>
      <c r="F10" s="186">
        <v>82.719513814421703</v>
      </c>
      <c r="H10" s="125"/>
    </row>
    <row r="11" spans="2:8" ht="18" customHeight="1" x14ac:dyDescent="0.2">
      <c r="B11" s="2">
        <v>2</v>
      </c>
      <c r="C11" s="42" t="s">
        <v>62</v>
      </c>
      <c r="D11" s="186">
        <v>9.985938004830242</v>
      </c>
      <c r="E11" s="186">
        <v>10.470706169466025</v>
      </c>
      <c r="F11" s="186">
        <v>10.889534416244667</v>
      </c>
      <c r="H11" s="125"/>
    </row>
    <row r="12" spans="2:8" ht="18" customHeight="1" x14ac:dyDescent="0.2">
      <c r="B12" s="2">
        <v>3</v>
      </c>
      <c r="C12" s="3" t="s">
        <v>63</v>
      </c>
      <c r="D12" s="186">
        <v>4.6354711861280711</v>
      </c>
      <c r="E12" s="186">
        <v>5.1298923998042278</v>
      </c>
      <c r="F12" s="186">
        <v>5.3350880957963973</v>
      </c>
      <c r="H12" s="125"/>
    </row>
    <row r="13" spans="2:8" ht="18" customHeight="1" x14ac:dyDescent="0.2">
      <c r="B13" s="2">
        <v>4</v>
      </c>
      <c r="C13" s="42" t="s">
        <v>64</v>
      </c>
      <c r="D13" s="186">
        <v>0.54127594386177158</v>
      </c>
      <c r="E13" s="186">
        <v>0.56538768820057894</v>
      </c>
      <c r="F13" s="186">
        <v>0.58800319572860216</v>
      </c>
      <c r="H13" s="125"/>
    </row>
    <row r="14" spans="2:8" ht="18" customHeight="1" x14ac:dyDescent="0.2">
      <c r="B14" s="2">
        <v>5</v>
      </c>
      <c r="C14" s="42" t="s">
        <v>65</v>
      </c>
      <c r="D14" s="186">
        <v>0</v>
      </c>
      <c r="E14" s="186">
        <v>0</v>
      </c>
      <c r="F14" s="186">
        <v>0</v>
      </c>
      <c r="H14" s="125"/>
    </row>
    <row r="15" spans="2:8" ht="18" customHeight="1" x14ac:dyDescent="0.2">
      <c r="B15" s="2">
        <v>6</v>
      </c>
      <c r="C15" s="3" t="s">
        <v>66</v>
      </c>
      <c r="D15" s="186">
        <v>6.4822352774271854</v>
      </c>
      <c r="E15" s="186">
        <v>6.2563707911375745</v>
      </c>
      <c r="F15" s="186">
        <v>6.5066256227830781</v>
      </c>
      <c r="H15" s="125"/>
    </row>
    <row r="16" spans="2:8" ht="18" customHeight="1" x14ac:dyDescent="0.2">
      <c r="B16" s="2">
        <v>7</v>
      </c>
      <c r="C16" s="42" t="s">
        <v>67</v>
      </c>
      <c r="D16" s="186">
        <v>12.016839548352728</v>
      </c>
      <c r="E16" s="186">
        <v>12.519855003859352</v>
      </c>
      <c r="F16" s="186">
        <v>13.020649204013726</v>
      </c>
      <c r="H16" s="125"/>
    </row>
    <row r="17" spans="2:8" ht="18" customHeight="1" x14ac:dyDescent="0.2">
      <c r="B17" s="2">
        <v>8</v>
      </c>
      <c r="C17" s="42" t="s">
        <v>68</v>
      </c>
      <c r="D17" s="186">
        <v>2.2145745203063143</v>
      </c>
      <c r="E17" s="186">
        <v>2.3178294533555195</v>
      </c>
      <c r="F17" s="186">
        <v>2.4105426314897405</v>
      </c>
      <c r="H17" s="125"/>
    </row>
    <row r="18" spans="2:8" ht="18" customHeight="1" x14ac:dyDescent="0.2">
      <c r="B18" s="2">
        <v>9</v>
      </c>
      <c r="C18" s="42" t="s">
        <v>69</v>
      </c>
      <c r="D18" s="186">
        <v>0</v>
      </c>
      <c r="E18" s="186">
        <v>0</v>
      </c>
      <c r="F18" s="186">
        <v>0</v>
      </c>
      <c r="H18" s="125"/>
    </row>
    <row r="19" spans="2:8" ht="18" customHeight="1" x14ac:dyDescent="0.2">
      <c r="B19" s="2">
        <v>10</v>
      </c>
      <c r="C19" s="42" t="s">
        <v>70</v>
      </c>
      <c r="D19" s="186">
        <v>0</v>
      </c>
      <c r="E19" s="186">
        <v>0</v>
      </c>
      <c r="F19" s="186">
        <v>0</v>
      </c>
      <c r="H19" s="125"/>
    </row>
    <row r="20" spans="2:8" ht="18" customHeight="1" x14ac:dyDescent="0.2">
      <c r="B20" s="2">
        <v>11</v>
      </c>
      <c r="C20" s="42" t="s">
        <v>71</v>
      </c>
      <c r="D20" s="186">
        <v>3.1821287594563899E-3</v>
      </c>
      <c r="E20" s="186">
        <v>3.540486432260626E-3</v>
      </c>
      <c r="F20" s="186">
        <v>3.6821058895510511E-3</v>
      </c>
      <c r="H20" s="125"/>
    </row>
    <row r="21" spans="2:8" ht="18" customHeight="1" x14ac:dyDescent="0.2">
      <c r="B21" s="2">
        <v>12</v>
      </c>
      <c r="C21" s="42" t="s">
        <v>72</v>
      </c>
      <c r="D21" s="186">
        <v>2.749531992987285</v>
      </c>
      <c r="E21" s="186">
        <v>2.9923179155170208</v>
      </c>
      <c r="F21" s="186">
        <v>3.1120106321377019</v>
      </c>
      <c r="H21" s="125"/>
    </row>
    <row r="22" spans="2:8" ht="18" customHeight="1" x14ac:dyDescent="0.2">
      <c r="B22" s="2">
        <v>13</v>
      </c>
      <c r="C22" s="42" t="s">
        <v>73</v>
      </c>
      <c r="D22" s="186">
        <v>0</v>
      </c>
      <c r="E22" s="186">
        <v>0</v>
      </c>
      <c r="F22" s="186">
        <v>0</v>
      </c>
      <c r="H22" s="125"/>
    </row>
    <row r="23" spans="2:8" ht="18" customHeight="1" x14ac:dyDescent="0.2">
      <c r="B23" s="2">
        <v>14</v>
      </c>
      <c r="C23" s="42" t="s">
        <v>74</v>
      </c>
      <c r="D23" s="186">
        <v>0</v>
      </c>
      <c r="E23" s="186">
        <v>0</v>
      </c>
      <c r="F23" s="186">
        <v>0</v>
      </c>
      <c r="H23" s="125"/>
    </row>
    <row r="24" spans="2:8" ht="18" customHeight="1" x14ac:dyDescent="0.2">
      <c r="B24" s="2">
        <v>15</v>
      </c>
      <c r="C24" s="42" t="s">
        <v>75</v>
      </c>
      <c r="D24" s="186">
        <v>0</v>
      </c>
      <c r="E24" s="186">
        <v>0</v>
      </c>
      <c r="F24" s="186">
        <v>0</v>
      </c>
      <c r="H24" s="125"/>
    </row>
    <row r="25" spans="2:8" ht="18" customHeight="1" x14ac:dyDescent="0.2">
      <c r="B25" s="2">
        <v>16</v>
      </c>
      <c r="C25" s="42" t="s">
        <v>76</v>
      </c>
      <c r="D25" s="186">
        <v>0</v>
      </c>
      <c r="E25" s="186">
        <v>0</v>
      </c>
      <c r="F25" s="186">
        <v>0</v>
      </c>
      <c r="H25" s="125"/>
    </row>
    <row r="26" spans="2:8" ht="18" customHeight="1" x14ac:dyDescent="0.2">
      <c r="B26" s="2">
        <v>17</v>
      </c>
      <c r="C26" s="42" t="s">
        <v>77</v>
      </c>
      <c r="D26" s="118">
        <f>SUM(D10:D25)</f>
        <v>114.50179235917631</v>
      </c>
      <c r="E26" s="119">
        <f>SUM(E10:E25)</f>
        <v>119.7938939601011</v>
      </c>
      <c r="F26" s="119">
        <f>SUM(F10:F25)</f>
        <v>124.58564971850517</v>
      </c>
      <c r="H26" s="126"/>
    </row>
    <row r="27" spans="2:8" ht="18" customHeight="1" x14ac:dyDescent="0.2">
      <c r="B27" s="2">
        <v>18</v>
      </c>
      <c r="C27" s="42" t="s">
        <v>78</v>
      </c>
      <c r="D27" s="186">
        <v>0</v>
      </c>
      <c r="E27" s="186">
        <v>0</v>
      </c>
      <c r="F27" s="186">
        <v>0</v>
      </c>
    </row>
    <row r="28" spans="2:8" ht="18" customHeight="1" x14ac:dyDescent="0.2">
      <c r="B28" s="2">
        <f>+B27+0.1</f>
        <v>18.100000000000001</v>
      </c>
      <c r="C28" s="42" t="s">
        <v>79</v>
      </c>
      <c r="D28" s="186">
        <v>0</v>
      </c>
      <c r="E28" s="186">
        <v>0</v>
      </c>
      <c r="F28" s="186">
        <v>0</v>
      </c>
    </row>
    <row r="29" spans="2:8" ht="18" customHeight="1" x14ac:dyDescent="0.2">
      <c r="B29" s="2">
        <f>+B28+0.1</f>
        <v>18.200000000000003</v>
      </c>
      <c r="C29" s="42" t="s">
        <v>80</v>
      </c>
      <c r="D29" s="186">
        <v>7.5652143394898888</v>
      </c>
      <c r="E29" s="186">
        <v>8.0298114013927986</v>
      </c>
      <c r="F29" s="186">
        <v>8.3510038574485108</v>
      </c>
    </row>
    <row r="30" spans="2:8" ht="18" customHeight="1" x14ac:dyDescent="0.2">
      <c r="B30" s="2">
        <f>+B29+0.1</f>
        <v>18.300000000000004</v>
      </c>
      <c r="C30" s="42" t="s">
        <v>81</v>
      </c>
      <c r="D30" s="186">
        <v>0</v>
      </c>
      <c r="E30" s="186">
        <v>0</v>
      </c>
      <c r="F30" s="186">
        <v>0</v>
      </c>
    </row>
    <row r="31" spans="2:8" ht="18" customHeight="1" x14ac:dyDescent="0.2">
      <c r="B31" s="2">
        <f>+B30+0.1</f>
        <v>18.400000000000006</v>
      </c>
      <c r="C31" s="42" t="s">
        <v>82</v>
      </c>
      <c r="D31" s="186">
        <v>45.955604775148906</v>
      </c>
      <c r="E31" s="186">
        <v>50.121804716049056</v>
      </c>
      <c r="F31" s="186">
        <v>52.126676904691017</v>
      </c>
    </row>
    <row r="32" spans="2:8" ht="31.5" customHeight="1" x14ac:dyDescent="0.2">
      <c r="B32" s="2">
        <v>19</v>
      </c>
      <c r="C32" s="46" t="s">
        <v>295</v>
      </c>
      <c r="D32" s="186">
        <v>0</v>
      </c>
      <c r="E32" s="186">
        <v>0</v>
      </c>
      <c r="F32" s="186">
        <v>0</v>
      </c>
    </row>
    <row r="33" spans="2:6" ht="18" customHeight="1" x14ac:dyDescent="0.2">
      <c r="B33" s="2">
        <v>20</v>
      </c>
      <c r="C33" s="42" t="s">
        <v>83</v>
      </c>
      <c r="D33" s="186">
        <v>0</v>
      </c>
      <c r="E33" s="186">
        <v>0</v>
      </c>
      <c r="F33" s="186">
        <v>0</v>
      </c>
    </row>
    <row r="34" spans="2:6" ht="18" customHeight="1" x14ac:dyDescent="0.25">
      <c r="B34" s="14">
        <v>21</v>
      </c>
      <c r="C34" s="43" t="s">
        <v>84</v>
      </c>
      <c r="D34" s="105">
        <f>SUM(D26:D33)</f>
        <v>168.02261147381509</v>
      </c>
      <c r="E34" s="105">
        <f>SUM(E26:E33)</f>
        <v>177.94551007754296</v>
      </c>
      <c r="F34" s="105">
        <f>SUM(F26:F33)</f>
        <v>185.06333048064468</v>
      </c>
    </row>
    <row r="35" spans="2:6" ht="18" customHeight="1" x14ac:dyDescent="0.25">
      <c r="B35" s="2">
        <v>22</v>
      </c>
      <c r="C35" s="42" t="s">
        <v>17</v>
      </c>
      <c r="D35" s="167"/>
      <c r="E35" s="168"/>
      <c r="F35" s="168"/>
    </row>
    <row r="36" spans="2:6" ht="18" customHeight="1" x14ac:dyDescent="0.2">
      <c r="B36" s="14">
        <v>23</v>
      </c>
      <c r="C36" s="19" t="s">
        <v>85</v>
      </c>
      <c r="D36" s="150">
        <f>ROUND(D34-D35,2)</f>
        <v>168.02</v>
      </c>
      <c r="E36" s="150">
        <f t="shared" ref="E36:F36" si="0">ROUND(E34-E35,2)</f>
        <v>177.95</v>
      </c>
      <c r="F36" s="150">
        <f t="shared" si="0"/>
        <v>185.06</v>
      </c>
    </row>
    <row r="37" spans="2:6" ht="27.75" customHeight="1" x14ac:dyDescent="0.2">
      <c r="B37" s="44"/>
      <c r="D37" s="127"/>
    </row>
    <row r="38" spans="2:6" x14ac:dyDescent="0.2">
      <c r="B38" s="45"/>
    </row>
  </sheetData>
  <mergeCells count="5">
    <mergeCell ref="B7:B9"/>
    <mergeCell ref="C7:C9"/>
    <mergeCell ref="B2:F2"/>
    <mergeCell ref="B4:F4"/>
    <mergeCell ref="B3:F3"/>
  </mergeCells>
  <pageMargins left="1" right="0.25" top="0.25" bottom="0.25" header="0.5" footer="0.5"/>
  <pageSetup paperSize="9" scale="93" orientation="landscape" r:id="rId1"/>
  <headerFooter alignWithMargins="0"/>
  <rowBreaks count="1" manualBreakCount="1">
    <brk id="36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showGridLines="0" view="pageBreakPreview" topLeftCell="A18" zoomScale="96" zoomScaleSheetLayoutView="96" workbookViewId="0">
      <selection activeCell="F38" sqref="F38"/>
    </sheetView>
  </sheetViews>
  <sheetFormatPr defaultColWidth="9.28515625" defaultRowHeight="14.25" x14ac:dyDescent="0.2"/>
  <cols>
    <col min="1" max="1" width="2" style="13" customWidth="1"/>
    <col min="2" max="2" width="7" style="13" customWidth="1"/>
    <col min="3" max="3" width="50.28515625" style="13" customWidth="1"/>
    <col min="4" max="5" width="15.7109375" style="13" customWidth="1"/>
    <col min="6" max="6" width="16.140625" style="13" customWidth="1"/>
    <col min="7" max="16384" width="9.28515625" style="13"/>
  </cols>
  <sheetData>
    <row r="1" spans="2:6" ht="14.25" customHeight="1" x14ac:dyDescent="0.2">
      <c r="B1" s="231" t="s">
        <v>303</v>
      </c>
      <c r="C1" s="231"/>
      <c r="D1" s="231"/>
      <c r="E1" s="231"/>
      <c r="F1" s="231"/>
    </row>
    <row r="2" spans="2:6" ht="14.25" customHeight="1" x14ac:dyDescent="0.2">
      <c r="B2" s="231" t="str">
        <f>'F1'!$F$3</f>
        <v>Nagarjuna Sagar HES</v>
      </c>
      <c r="C2" s="231"/>
      <c r="D2" s="231"/>
      <c r="E2" s="231"/>
      <c r="F2" s="231"/>
    </row>
    <row r="3" spans="2:6" s="4" customFormat="1" ht="15" x14ac:dyDescent="0.2">
      <c r="B3" s="231" t="s">
        <v>306</v>
      </c>
      <c r="C3" s="231"/>
      <c r="D3" s="231"/>
      <c r="E3" s="231"/>
      <c r="F3" s="231"/>
    </row>
    <row r="4" spans="2:6" ht="15" x14ac:dyDescent="0.2">
      <c r="F4" s="26" t="s">
        <v>4</v>
      </c>
    </row>
    <row r="5" spans="2:6" ht="12.75" customHeight="1" x14ac:dyDescent="0.2">
      <c r="B5" s="226" t="s">
        <v>169</v>
      </c>
      <c r="C5" s="224" t="s">
        <v>18</v>
      </c>
      <c r="D5" s="15" t="s">
        <v>304</v>
      </c>
      <c r="E5" s="15" t="s">
        <v>305</v>
      </c>
      <c r="F5" s="23" t="s">
        <v>332</v>
      </c>
    </row>
    <row r="6" spans="2:6" ht="15" x14ac:dyDescent="0.2">
      <c r="B6" s="226"/>
      <c r="C6" s="224"/>
      <c r="D6" s="15" t="s">
        <v>211</v>
      </c>
      <c r="E6" s="15" t="s">
        <v>210</v>
      </c>
      <c r="F6" s="15" t="s">
        <v>210</v>
      </c>
    </row>
    <row r="7" spans="2:6" ht="15" x14ac:dyDescent="0.2">
      <c r="B7" s="226"/>
      <c r="C7" s="224"/>
      <c r="D7" s="15" t="s">
        <v>12</v>
      </c>
      <c r="E7" s="15" t="s">
        <v>5</v>
      </c>
      <c r="F7" s="15" t="s">
        <v>8</v>
      </c>
    </row>
    <row r="8" spans="2:6" x14ac:dyDescent="0.2">
      <c r="B8" s="3">
        <v>1</v>
      </c>
      <c r="C8" s="52" t="s">
        <v>86</v>
      </c>
      <c r="D8" s="186">
        <v>0.14641155753872698</v>
      </c>
      <c r="E8" s="186">
        <v>0.11369770829877623</v>
      </c>
      <c r="F8" s="186">
        <v>0.12051957079670282</v>
      </c>
    </row>
    <row r="9" spans="2:6" x14ac:dyDescent="0.2">
      <c r="B9" s="3">
        <v>2</v>
      </c>
      <c r="C9" s="53" t="s">
        <v>87</v>
      </c>
      <c r="D9" s="186">
        <v>0</v>
      </c>
      <c r="E9" s="186">
        <v>0</v>
      </c>
      <c r="F9" s="186">
        <v>0</v>
      </c>
    </row>
    <row r="10" spans="2:6" x14ac:dyDescent="0.2">
      <c r="B10" s="3">
        <v>3</v>
      </c>
      <c r="C10" s="53" t="s">
        <v>88</v>
      </c>
      <c r="D10" s="186">
        <v>0.12131535901879974</v>
      </c>
      <c r="E10" s="186">
        <v>0.13292172516715767</v>
      </c>
      <c r="F10" s="186">
        <v>0.14089702867718715</v>
      </c>
    </row>
    <row r="11" spans="2:6" x14ac:dyDescent="0.2">
      <c r="B11" s="3">
        <v>4</v>
      </c>
      <c r="C11" s="53" t="s">
        <v>89</v>
      </c>
      <c r="D11" s="186">
        <v>0.3483298701832761</v>
      </c>
      <c r="E11" s="186">
        <v>0.38218199732722258</v>
      </c>
      <c r="F11" s="186">
        <v>0.40511291716685593</v>
      </c>
    </row>
    <row r="12" spans="2:6" x14ac:dyDescent="0.2">
      <c r="B12" s="3">
        <v>5</v>
      </c>
      <c r="C12" s="53" t="s">
        <v>90</v>
      </c>
      <c r="D12" s="186">
        <v>2.6599942634473822E-2</v>
      </c>
      <c r="E12" s="186">
        <v>2.9360433008827378E-2</v>
      </c>
      <c r="F12" s="186">
        <v>3.1122058989357021E-2</v>
      </c>
    </row>
    <row r="13" spans="2:6" x14ac:dyDescent="0.2">
      <c r="B13" s="3">
        <v>6</v>
      </c>
      <c r="C13" s="53" t="s">
        <v>91</v>
      </c>
      <c r="D13" s="186">
        <v>6.7269167784839948E-2</v>
      </c>
      <c r="E13" s="186">
        <v>7.3767688640778012E-2</v>
      </c>
      <c r="F13" s="186">
        <v>7.8193749959224693E-2</v>
      </c>
    </row>
    <row r="14" spans="2:6" x14ac:dyDescent="0.2">
      <c r="B14" s="3">
        <v>7</v>
      </c>
      <c r="C14" s="53" t="s">
        <v>92</v>
      </c>
      <c r="D14" s="186">
        <v>1.4743855603031901</v>
      </c>
      <c r="E14" s="186">
        <v>1.4380264389839359</v>
      </c>
      <c r="F14" s="186">
        <v>1.5243080253229722</v>
      </c>
    </row>
    <row r="15" spans="2:6" x14ac:dyDescent="0.2">
      <c r="B15" s="3">
        <v>8</v>
      </c>
      <c r="C15" s="53" t="s">
        <v>93</v>
      </c>
      <c r="D15" s="186">
        <v>2.9923059688065296E-3</v>
      </c>
      <c r="E15" s="186">
        <v>3.3028416694852883E-3</v>
      </c>
      <c r="F15" s="186">
        <v>3.5010121696544059E-3</v>
      </c>
    </row>
    <row r="16" spans="2:6" x14ac:dyDescent="0.2">
      <c r="B16" s="3">
        <v>9</v>
      </c>
      <c r="C16" s="53" t="s">
        <v>94</v>
      </c>
      <c r="D16" s="186">
        <v>5.8800279157537503</v>
      </c>
      <c r="E16" s="186">
        <v>6.4576280019487093</v>
      </c>
      <c r="F16" s="186">
        <v>6.8450856820656325</v>
      </c>
    </row>
    <row r="17" spans="2:6" x14ac:dyDescent="0.2">
      <c r="B17" s="3">
        <v>10</v>
      </c>
      <c r="C17" s="53" t="s">
        <v>95</v>
      </c>
      <c r="D17" s="186">
        <v>0.49659662756551015</v>
      </c>
      <c r="E17" s="186">
        <v>0.54813689358617079</v>
      </c>
      <c r="F17" s="186">
        <v>0.58102510720134104</v>
      </c>
    </row>
    <row r="18" spans="2:6" x14ac:dyDescent="0.2">
      <c r="B18" s="3">
        <v>11</v>
      </c>
      <c r="C18" s="53" t="s">
        <v>96</v>
      </c>
      <c r="D18" s="186">
        <v>1.1987906426302742E-3</v>
      </c>
      <c r="E18" s="186">
        <v>1.9975421020562148E-3</v>
      </c>
      <c r="F18" s="186">
        <v>2.1173946281795876E-3</v>
      </c>
    </row>
    <row r="19" spans="2:6" x14ac:dyDescent="0.2">
      <c r="B19" s="3">
        <v>12</v>
      </c>
      <c r="C19" s="53" t="s">
        <v>97</v>
      </c>
      <c r="D19" s="186">
        <v>0</v>
      </c>
      <c r="E19" s="186">
        <v>0</v>
      </c>
      <c r="F19" s="186">
        <v>0</v>
      </c>
    </row>
    <row r="20" spans="2:6" x14ac:dyDescent="0.2">
      <c r="B20" s="3">
        <v>13</v>
      </c>
      <c r="C20" s="53" t="s">
        <v>98</v>
      </c>
      <c r="D20" s="186">
        <v>2.2943841771129184E-2</v>
      </c>
      <c r="E20" s="186">
        <v>2.521187698569961E-2</v>
      </c>
      <c r="F20" s="186">
        <v>2.6724589604841587E-2</v>
      </c>
    </row>
    <row r="21" spans="2:6" x14ac:dyDescent="0.2">
      <c r="B21" s="3">
        <v>14</v>
      </c>
      <c r="C21" s="53" t="s">
        <v>99</v>
      </c>
      <c r="D21" s="186">
        <v>7.9629837039077972E-2</v>
      </c>
      <c r="E21" s="186">
        <v>0.16088306654181322</v>
      </c>
      <c r="F21" s="186">
        <v>0.17053605053432203</v>
      </c>
    </row>
    <row r="22" spans="2:6" x14ac:dyDescent="0.2">
      <c r="B22" s="3">
        <v>15</v>
      </c>
      <c r="C22" s="53" t="s">
        <v>100</v>
      </c>
      <c r="D22" s="186">
        <v>0</v>
      </c>
      <c r="E22" s="186">
        <v>0</v>
      </c>
      <c r="F22" s="186">
        <v>0</v>
      </c>
    </row>
    <row r="23" spans="2:6" x14ac:dyDescent="0.2">
      <c r="B23" s="3">
        <v>16</v>
      </c>
      <c r="C23" s="52" t="s">
        <v>101</v>
      </c>
      <c r="D23" s="186">
        <v>0</v>
      </c>
      <c r="E23" s="186">
        <v>0</v>
      </c>
      <c r="F23" s="186">
        <v>0</v>
      </c>
    </row>
    <row r="24" spans="2:6" x14ac:dyDescent="0.2">
      <c r="B24" s="3">
        <v>17</v>
      </c>
      <c r="C24" s="52" t="s">
        <v>102</v>
      </c>
      <c r="D24" s="186">
        <v>0</v>
      </c>
      <c r="E24" s="186">
        <v>0</v>
      </c>
      <c r="F24" s="186">
        <v>0</v>
      </c>
    </row>
    <row r="25" spans="2:6" x14ac:dyDescent="0.2">
      <c r="B25" s="3">
        <v>18</v>
      </c>
      <c r="C25" s="53" t="s">
        <v>103</v>
      </c>
      <c r="D25" s="186">
        <v>7.0089902711282764E-2</v>
      </c>
      <c r="E25" s="186">
        <v>7.7602716338827191E-2</v>
      </c>
      <c r="F25" s="186">
        <v>8.2258879319156833E-2</v>
      </c>
    </row>
    <row r="26" spans="2:6" x14ac:dyDescent="0.2">
      <c r="B26" s="3">
        <v>19</v>
      </c>
      <c r="C26" s="53" t="s">
        <v>104</v>
      </c>
      <c r="D26" s="186">
        <v>1.2740533425489309</v>
      </c>
      <c r="E26" s="186">
        <v>1.3569305243392675</v>
      </c>
      <c r="F26" s="186">
        <v>1.4383463557996237</v>
      </c>
    </row>
    <row r="27" spans="2:6" x14ac:dyDescent="0.2">
      <c r="B27" s="3">
        <v>20</v>
      </c>
      <c r="C27" s="53" t="s">
        <v>105</v>
      </c>
      <c r="D27" s="186">
        <v>0</v>
      </c>
      <c r="E27" s="186">
        <v>0</v>
      </c>
      <c r="F27" s="186">
        <v>0</v>
      </c>
    </row>
    <row r="28" spans="2:6" x14ac:dyDescent="0.2">
      <c r="B28" s="3">
        <v>21</v>
      </c>
      <c r="C28" s="53" t="s">
        <v>106</v>
      </c>
      <c r="D28" s="186">
        <v>0</v>
      </c>
      <c r="E28" s="186">
        <v>0</v>
      </c>
      <c r="F28" s="186">
        <v>0</v>
      </c>
    </row>
    <row r="29" spans="2:6" x14ac:dyDescent="0.2">
      <c r="B29" s="3">
        <v>22</v>
      </c>
      <c r="C29" s="53" t="s">
        <v>107</v>
      </c>
      <c r="D29" s="186">
        <v>6.5823849729453751E-6</v>
      </c>
      <c r="E29" s="186">
        <v>7.2654920986936794E-6</v>
      </c>
      <c r="F29" s="186">
        <v>7.7014216246153001E-6</v>
      </c>
    </row>
    <row r="30" spans="2:6" x14ac:dyDescent="0.2">
      <c r="B30" s="3">
        <v>23</v>
      </c>
      <c r="C30" s="53" t="s">
        <v>108</v>
      </c>
      <c r="D30" s="186">
        <v>0</v>
      </c>
      <c r="E30" s="186">
        <v>0</v>
      </c>
      <c r="F30" s="186">
        <v>0</v>
      </c>
    </row>
    <row r="31" spans="2:6" x14ac:dyDescent="0.2">
      <c r="B31" s="3">
        <v>24</v>
      </c>
      <c r="C31" s="53" t="s">
        <v>109</v>
      </c>
      <c r="D31" s="186">
        <v>6.5992944296240669E-2</v>
      </c>
      <c r="E31" s="186">
        <v>7.2853711029959758E-2</v>
      </c>
      <c r="F31" s="186">
        <v>7.7224933691757341E-2</v>
      </c>
    </row>
    <row r="32" spans="2:6" x14ac:dyDescent="0.2">
      <c r="B32" s="3">
        <v>25</v>
      </c>
      <c r="C32" s="53" t="s">
        <v>110</v>
      </c>
      <c r="D32" s="186">
        <v>0</v>
      </c>
      <c r="E32" s="186">
        <v>0</v>
      </c>
      <c r="F32" s="186">
        <v>0</v>
      </c>
    </row>
    <row r="33" spans="2:6" x14ac:dyDescent="0.2">
      <c r="B33" s="3">
        <v>26</v>
      </c>
      <c r="C33" s="53" t="s">
        <v>111</v>
      </c>
      <c r="D33" s="186">
        <v>0</v>
      </c>
      <c r="E33" s="186">
        <v>0</v>
      </c>
      <c r="F33" s="186">
        <v>0</v>
      </c>
    </row>
    <row r="34" spans="2:6" x14ac:dyDescent="0.2">
      <c r="B34" s="3">
        <v>27</v>
      </c>
      <c r="C34" s="53" t="s">
        <v>112</v>
      </c>
      <c r="D34" s="186">
        <v>3.6735973488663039E-2</v>
      </c>
      <c r="E34" s="186">
        <v>4.0234146143164923E-2</v>
      </c>
      <c r="F34" s="186">
        <v>4.2648194911754818E-2</v>
      </c>
    </row>
    <row r="35" spans="2:6" x14ac:dyDescent="0.2">
      <c r="B35" s="3">
        <v>28</v>
      </c>
      <c r="C35" s="53" t="s">
        <v>83</v>
      </c>
      <c r="D35" s="186">
        <v>7.3648427097658453E-2</v>
      </c>
      <c r="E35" s="186">
        <v>0.14499999999999999</v>
      </c>
      <c r="F35" s="186">
        <v>0.14811525195992159</v>
      </c>
    </row>
    <row r="36" spans="2:6" ht="15" x14ac:dyDescent="0.25">
      <c r="B36" s="3">
        <v>29</v>
      </c>
      <c r="C36" s="54" t="s">
        <v>113</v>
      </c>
      <c r="D36" s="95">
        <f>SUM(D8:D35)</f>
        <v>10.188227948731962</v>
      </c>
      <c r="E36" s="95">
        <f>SUM(E8:E35)</f>
        <v>11.059744577603951</v>
      </c>
      <c r="F36" s="95">
        <f>SUM(F8:F35)</f>
        <v>11.717744504220111</v>
      </c>
    </row>
    <row r="37" spans="2:6" ht="15" x14ac:dyDescent="0.25">
      <c r="B37" s="3">
        <v>30</v>
      </c>
      <c r="C37" s="42" t="s">
        <v>17</v>
      </c>
      <c r="D37" s="167"/>
      <c r="E37" s="169"/>
      <c r="F37" s="169"/>
    </row>
    <row r="38" spans="2:6" ht="15" x14ac:dyDescent="0.2">
      <c r="B38" s="3">
        <v>31</v>
      </c>
      <c r="C38" s="19" t="s">
        <v>114</v>
      </c>
      <c r="D38" s="95">
        <f>ROUND(D36-D37,2)</f>
        <v>10.19</v>
      </c>
      <c r="E38" s="95">
        <f t="shared" ref="E38:F38" si="0">ROUND(E36-E37,2)</f>
        <v>11.06</v>
      </c>
      <c r="F38" s="95">
        <f t="shared" si="0"/>
        <v>11.72</v>
      </c>
    </row>
  </sheetData>
  <mergeCells count="5">
    <mergeCell ref="B5:B7"/>
    <mergeCell ref="C5:C7"/>
    <mergeCell ref="B3:F3"/>
    <mergeCell ref="B1:F1"/>
    <mergeCell ref="B2:F2"/>
  </mergeCells>
  <pageMargins left="0.75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showGridLines="0" view="pageBreakPreview" zoomScale="90" zoomScaleNormal="98" zoomScaleSheetLayoutView="90" workbookViewId="0">
      <selection activeCell="F18" sqref="F18"/>
    </sheetView>
  </sheetViews>
  <sheetFormatPr defaultColWidth="9.28515625" defaultRowHeight="14.25" x14ac:dyDescent="0.2"/>
  <cols>
    <col min="1" max="1" width="4.5703125" style="13" customWidth="1"/>
    <col min="2" max="2" width="8.7109375" style="55" customWidth="1"/>
    <col min="3" max="3" width="45.7109375" style="13" customWidth="1"/>
    <col min="4" max="5" width="15.7109375" style="13" customWidth="1"/>
    <col min="6" max="6" width="12.28515625" style="13" customWidth="1"/>
    <col min="7" max="16384" width="9.28515625" style="13"/>
  </cols>
  <sheetData>
    <row r="2" spans="2:6" ht="14.25" customHeight="1" x14ac:dyDescent="0.2">
      <c r="B2" s="231" t="s">
        <v>303</v>
      </c>
      <c r="C2" s="231"/>
      <c r="D2" s="231"/>
      <c r="E2" s="231"/>
      <c r="F2" s="231"/>
    </row>
    <row r="3" spans="2:6" ht="14.25" customHeight="1" x14ac:dyDescent="0.2">
      <c r="B3" s="231" t="str">
        <f>'F1'!$F$3</f>
        <v>Nagarjuna Sagar HES</v>
      </c>
      <c r="C3" s="231"/>
      <c r="D3" s="231"/>
      <c r="E3" s="231"/>
      <c r="F3" s="231"/>
    </row>
    <row r="4" spans="2:6" s="4" customFormat="1" ht="14.25" customHeight="1" x14ac:dyDescent="0.2">
      <c r="B4" s="231" t="s">
        <v>240</v>
      </c>
      <c r="C4" s="231"/>
      <c r="D4" s="231"/>
      <c r="E4" s="231"/>
      <c r="F4" s="231"/>
    </row>
    <row r="6" spans="2:6" ht="15" x14ac:dyDescent="0.2">
      <c r="F6" s="26" t="s">
        <v>4</v>
      </c>
    </row>
    <row r="7" spans="2:6" ht="12.75" customHeight="1" x14ac:dyDescent="0.2">
      <c r="B7" s="226" t="s">
        <v>169</v>
      </c>
      <c r="C7" s="224" t="s">
        <v>18</v>
      </c>
      <c r="D7" s="15" t="s">
        <v>304</v>
      </c>
      <c r="E7" s="15" t="s">
        <v>305</v>
      </c>
      <c r="F7" s="23" t="s">
        <v>332</v>
      </c>
    </row>
    <row r="8" spans="2:6" ht="15" x14ac:dyDescent="0.2">
      <c r="B8" s="226"/>
      <c r="C8" s="224"/>
      <c r="D8" s="15" t="s">
        <v>211</v>
      </c>
      <c r="E8" s="15" t="s">
        <v>210</v>
      </c>
      <c r="F8" s="15" t="s">
        <v>210</v>
      </c>
    </row>
    <row r="9" spans="2:6" ht="15" x14ac:dyDescent="0.2">
      <c r="B9" s="226"/>
      <c r="C9" s="224"/>
      <c r="D9" s="15" t="s">
        <v>12</v>
      </c>
      <c r="E9" s="15" t="s">
        <v>5</v>
      </c>
      <c r="F9" s="15" t="s">
        <v>8</v>
      </c>
    </row>
    <row r="10" spans="2:6" x14ac:dyDescent="0.2">
      <c r="B10" s="2">
        <v>1</v>
      </c>
      <c r="C10" s="53" t="s">
        <v>115</v>
      </c>
      <c r="D10" s="186">
        <v>6.4973579888563524</v>
      </c>
      <c r="E10" s="186">
        <v>6.921421722891882</v>
      </c>
      <c r="F10" s="186">
        <v>7.3367070262653948</v>
      </c>
    </row>
    <row r="11" spans="2:6" x14ac:dyDescent="0.2">
      <c r="B11" s="2">
        <v>2</v>
      </c>
      <c r="C11" s="53" t="s">
        <v>116</v>
      </c>
      <c r="D11" s="186">
        <v>1.847418379155896</v>
      </c>
      <c r="E11" s="186">
        <v>1.9697199878379759</v>
      </c>
      <c r="F11" s="186">
        <v>2.0879031871082545</v>
      </c>
    </row>
    <row r="12" spans="2:6" x14ac:dyDescent="0.2">
      <c r="B12" s="2">
        <v>3</v>
      </c>
      <c r="C12" s="53" t="s">
        <v>117</v>
      </c>
      <c r="D12" s="186">
        <v>0</v>
      </c>
      <c r="E12" s="186">
        <v>0</v>
      </c>
      <c r="F12" s="186">
        <v>0</v>
      </c>
    </row>
    <row r="13" spans="2:6" x14ac:dyDescent="0.2">
      <c r="B13" s="2">
        <v>4</v>
      </c>
      <c r="C13" s="53" t="s">
        <v>118</v>
      </c>
      <c r="D13" s="186">
        <v>6.6905155000000008E-2</v>
      </c>
      <c r="E13" s="186">
        <v>7.2613185677904826E-2</v>
      </c>
      <c r="F13" s="186">
        <v>7.6969976818579117E-2</v>
      </c>
    </row>
    <row r="14" spans="2:6" x14ac:dyDescent="0.2">
      <c r="B14" s="2">
        <v>5</v>
      </c>
      <c r="C14" s="53" t="s">
        <v>119</v>
      </c>
      <c r="D14" s="186">
        <v>0.87503856542148095</v>
      </c>
      <c r="E14" s="186">
        <v>0.9362988846215472</v>
      </c>
      <c r="F14" s="186">
        <v>0.99247681769884011</v>
      </c>
    </row>
    <row r="15" spans="2:6" x14ac:dyDescent="0.2">
      <c r="B15" s="2">
        <v>6</v>
      </c>
      <c r="C15" s="53" t="s">
        <v>120</v>
      </c>
      <c r="D15" s="186">
        <v>2.8263388540201925E-2</v>
      </c>
      <c r="E15" s="186">
        <v>3.0608285852699618E-2</v>
      </c>
      <c r="F15" s="186">
        <v>3.2444783003861596E-2</v>
      </c>
    </row>
    <row r="16" spans="2:6" x14ac:dyDescent="0.2">
      <c r="B16" s="2">
        <v>7</v>
      </c>
      <c r="C16" s="53" t="s">
        <v>121</v>
      </c>
      <c r="D16" s="186">
        <v>1.1000000000000001E-3</v>
      </c>
      <c r="E16" s="186">
        <v>1.1938467857326586E-3</v>
      </c>
      <c r="F16" s="186">
        <v>1.2654775928766181E-3</v>
      </c>
    </row>
    <row r="17" spans="2:6" x14ac:dyDescent="0.2">
      <c r="B17" s="2">
        <v>8</v>
      </c>
      <c r="C17" s="53" t="s">
        <v>122</v>
      </c>
      <c r="D17" s="186">
        <v>0.38754451425683106</v>
      </c>
      <c r="E17" s="186">
        <v>0.41469894511738337</v>
      </c>
      <c r="F17" s="186">
        <v>0.43</v>
      </c>
    </row>
    <row r="18" spans="2:6" ht="15" x14ac:dyDescent="0.25">
      <c r="B18" s="2">
        <v>9</v>
      </c>
      <c r="C18" s="54" t="s">
        <v>123</v>
      </c>
      <c r="D18" s="95">
        <f>ROUND(SUM(D10:D17),2)</f>
        <v>9.6999999999999993</v>
      </c>
      <c r="E18" s="95">
        <f>ROUND(SUM(E10:E17),2)</f>
        <v>10.35</v>
      </c>
      <c r="F18" s="95">
        <f>ROUND(SUM(F10:F17),2)</f>
        <v>10.96</v>
      </c>
    </row>
    <row r="19" spans="2:6" ht="15" x14ac:dyDescent="0.25">
      <c r="B19" s="2"/>
      <c r="C19" s="52"/>
      <c r="D19" s="167"/>
      <c r="E19" s="170"/>
      <c r="F19" s="171"/>
    </row>
    <row r="20" spans="2:6" ht="15" x14ac:dyDescent="0.2">
      <c r="B20" s="2">
        <v>10</v>
      </c>
      <c r="C20" s="56" t="s">
        <v>124</v>
      </c>
      <c r="D20" s="95">
        <f>'F4'!F21</f>
        <v>1923.46</v>
      </c>
      <c r="E20" s="95">
        <f>'F4'!F37</f>
        <v>1925.83</v>
      </c>
      <c r="F20" s="95">
        <f>'F4'!F53</f>
        <v>1925.83</v>
      </c>
    </row>
    <row r="21" spans="2:6" ht="28.5" x14ac:dyDescent="0.2">
      <c r="B21" s="2">
        <v>11</v>
      </c>
      <c r="C21" s="56" t="s">
        <v>125</v>
      </c>
      <c r="D21" s="104">
        <f>IFERROR(D18/D20,0)</f>
        <v>5.0429954353092858E-3</v>
      </c>
      <c r="E21" s="104">
        <f>IFERROR(E18/E20,0)</f>
        <v>5.374306143325216E-3</v>
      </c>
      <c r="F21" s="104">
        <f>IFERROR(F18/F20,0)</f>
        <v>5.6910526889704703E-3</v>
      </c>
    </row>
    <row r="22" spans="2:6" x14ac:dyDescent="0.2">
      <c r="B22" s="2"/>
      <c r="C22" s="52"/>
      <c r="D22" s="205"/>
      <c r="E22" s="205"/>
      <c r="F22" s="205"/>
    </row>
  </sheetData>
  <mergeCells count="5">
    <mergeCell ref="B7:B9"/>
    <mergeCell ref="C7:C9"/>
    <mergeCell ref="B4:F4"/>
    <mergeCell ref="B2:F2"/>
    <mergeCell ref="B3:F3"/>
  </mergeCells>
  <pageMargins left="1.25" right="0.75" top="1" bottom="1" header="0.5" footer="0.5"/>
  <pageSetup paperSize="9" scale="12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6"/>
  <sheetViews>
    <sheetView view="pageBreakPreview" zoomScale="90" zoomScaleNormal="118" zoomScaleSheetLayoutView="90" workbookViewId="0">
      <selection activeCell="E12" sqref="E12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5.140625" style="4" customWidth="1"/>
    <col min="9" max="9" width="11.7109375" style="4" bestFit="1" customWidth="1"/>
    <col min="10" max="10" width="10.7109375" style="4" customWidth="1"/>
    <col min="11" max="16384" width="9.28515625" style="4"/>
  </cols>
  <sheetData>
    <row r="1" spans="2:10" ht="15" x14ac:dyDescent="0.25">
      <c r="B1" s="57"/>
    </row>
    <row r="2" spans="2:10" ht="14.25" customHeight="1" x14ac:dyDescent="0.2">
      <c r="B2" s="231" t="s">
        <v>303</v>
      </c>
      <c r="C2" s="231"/>
      <c r="D2" s="231"/>
      <c r="E2" s="231"/>
      <c r="F2" s="231"/>
      <c r="G2" s="231"/>
      <c r="H2" s="231"/>
    </row>
    <row r="3" spans="2:10" ht="14.25" customHeight="1" x14ac:dyDescent="0.2">
      <c r="B3" s="35"/>
      <c r="C3" s="35"/>
      <c r="D3" s="35"/>
      <c r="E3" s="35" t="str">
        <f>'F1'!$F$3</f>
        <v>Nagarjuna Sagar HES</v>
      </c>
      <c r="F3" s="35"/>
      <c r="G3" s="35"/>
      <c r="H3" s="35"/>
    </row>
    <row r="4" spans="2:10" ht="14.25" customHeight="1" x14ac:dyDescent="0.2">
      <c r="B4" s="231" t="s">
        <v>241</v>
      </c>
      <c r="C4" s="231"/>
      <c r="D4" s="231"/>
      <c r="E4" s="231"/>
      <c r="F4" s="231"/>
      <c r="G4" s="231"/>
      <c r="H4" s="231"/>
    </row>
    <row r="5" spans="2:10" ht="15" x14ac:dyDescent="0.25">
      <c r="B5" s="36"/>
      <c r="C5" s="58"/>
      <c r="D5" s="58"/>
      <c r="E5" s="58"/>
      <c r="F5" s="58"/>
      <c r="G5" s="58"/>
      <c r="H5" s="58"/>
    </row>
    <row r="6" spans="2:10" ht="15" x14ac:dyDescent="0.2">
      <c r="H6" s="26" t="s">
        <v>4</v>
      </c>
    </row>
    <row r="7" spans="2:10" s="13" customFormat="1" ht="15" customHeight="1" x14ac:dyDescent="0.2">
      <c r="B7" s="221" t="s">
        <v>169</v>
      </c>
      <c r="C7" s="224" t="s">
        <v>18</v>
      </c>
      <c r="D7" s="228" t="s">
        <v>304</v>
      </c>
      <c r="E7" s="229"/>
      <c r="F7" s="230"/>
      <c r="G7" s="228" t="s">
        <v>305</v>
      </c>
      <c r="H7" s="230"/>
      <c r="I7" s="228" t="s">
        <v>332</v>
      </c>
      <c r="J7" s="230"/>
    </row>
    <row r="8" spans="2:10" s="13" customFormat="1" ht="45" x14ac:dyDescent="0.2">
      <c r="B8" s="222"/>
      <c r="C8" s="224"/>
      <c r="D8" s="15" t="s">
        <v>276</v>
      </c>
      <c r="E8" s="15" t="s">
        <v>211</v>
      </c>
      <c r="F8" s="15" t="s">
        <v>182</v>
      </c>
      <c r="G8" s="15" t="s">
        <v>276</v>
      </c>
      <c r="H8" s="15" t="s">
        <v>210</v>
      </c>
      <c r="I8" s="15" t="s">
        <v>276</v>
      </c>
      <c r="J8" s="15" t="s">
        <v>210</v>
      </c>
    </row>
    <row r="9" spans="2:10" s="13" customFormat="1" ht="30" x14ac:dyDescent="0.2">
      <c r="B9" s="223"/>
      <c r="C9" s="225"/>
      <c r="D9" s="15" t="s">
        <v>10</v>
      </c>
      <c r="E9" s="15" t="s">
        <v>12</v>
      </c>
      <c r="F9" s="15" t="s">
        <v>202</v>
      </c>
      <c r="G9" s="15" t="s">
        <v>10</v>
      </c>
      <c r="H9" s="15" t="s">
        <v>5</v>
      </c>
      <c r="I9" s="15" t="s">
        <v>10</v>
      </c>
      <c r="J9" s="15" t="s">
        <v>8</v>
      </c>
    </row>
    <row r="10" spans="2:10" s="5" customFormat="1" x14ac:dyDescent="0.2">
      <c r="B10" s="61">
        <v>1</v>
      </c>
      <c r="C10" s="27" t="s">
        <v>215</v>
      </c>
      <c r="D10" s="2"/>
      <c r="E10" s="27"/>
      <c r="F10" s="27"/>
      <c r="G10" s="94"/>
      <c r="H10" s="94">
        <f>E13</f>
        <v>0</v>
      </c>
      <c r="I10" s="94"/>
      <c r="J10" s="94">
        <f>H13</f>
        <v>0</v>
      </c>
    </row>
    <row r="11" spans="2:10" s="5" customFormat="1" x14ac:dyDescent="0.2">
      <c r="B11" s="20">
        <v>2</v>
      </c>
      <c r="C11" s="27" t="s">
        <v>244</v>
      </c>
      <c r="D11" s="2"/>
      <c r="E11" s="91">
        <v>2.38</v>
      </c>
      <c r="F11" s="91">
        <f>E11</f>
        <v>2.38</v>
      </c>
      <c r="G11" s="21"/>
      <c r="H11" s="94"/>
      <c r="I11" s="94"/>
      <c r="J11" s="94"/>
    </row>
    <row r="12" spans="2:10" s="5" customFormat="1" ht="15" x14ac:dyDescent="0.2">
      <c r="B12" s="20">
        <v>3</v>
      </c>
      <c r="C12" s="29" t="s">
        <v>196</v>
      </c>
      <c r="D12" s="102"/>
      <c r="E12" s="107">
        <v>2.38</v>
      </c>
      <c r="F12" s="107">
        <f>E12</f>
        <v>2.38</v>
      </c>
      <c r="G12" s="102"/>
      <c r="H12" s="93"/>
      <c r="I12" s="93"/>
      <c r="J12" s="93"/>
    </row>
    <row r="13" spans="2:10" s="5" customFormat="1" ht="15" x14ac:dyDescent="0.2">
      <c r="B13" s="20">
        <v>4</v>
      </c>
      <c r="C13" s="27" t="s">
        <v>216</v>
      </c>
      <c r="D13" s="103">
        <f>D10+D11-D12</f>
        <v>0</v>
      </c>
      <c r="E13" s="103">
        <v>0</v>
      </c>
      <c r="F13" s="103">
        <f t="shared" ref="E13:J13" si="0">F10+F11-F12</f>
        <v>0</v>
      </c>
      <c r="G13" s="103">
        <f t="shared" si="0"/>
        <v>0</v>
      </c>
      <c r="H13" s="103">
        <f>H10+H11-H12</f>
        <v>0</v>
      </c>
      <c r="I13" s="103">
        <f>I10+I11-I12</f>
        <v>0</v>
      </c>
      <c r="J13" s="103">
        <f t="shared" si="0"/>
        <v>0</v>
      </c>
    </row>
    <row r="14" spans="2:10" s="32" customFormat="1" ht="15" x14ac:dyDescent="0.2">
      <c r="B14" s="62"/>
      <c r="C14" s="49"/>
      <c r="D14" s="59"/>
      <c r="E14" s="59"/>
      <c r="F14" s="59"/>
      <c r="G14" s="60"/>
      <c r="H14" s="24"/>
    </row>
    <row r="16" spans="2:10" x14ac:dyDescent="0.2">
      <c r="B16" s="63"/>
    </row>
  </sheetData>
  <mergeCells count="7">
    <mergeCell ref="I7:J7"/>
    <mergeCell ref="B4:H4"/>
    <mergeCell ref="B2:H2"/>
    <mergeCell ref="B7:B9"/>
    <mergeCell ref="C7:C9"/>
    <mergeCell ref="D7:F7"/>
    <mergeCell ref="G7:H7"/>
  </mergeCells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5"/>
  <sheetViews>
    <sheetView showGridLines="0" tabSelected="1" view="pageBreakPreview" zoomScale="90" zoomScaleNormal="106" zoomScaleSheetLayoutView="90" workbookViewId="0">
      <selection activeCell="F14" sqref="F14"/>
    </sheetView>
  </sheetViews>
  <sheetFormatPr defaultRowHeight="14.25" x14ac:dyDescent="0.2"/>
  <cols>
    <col min="1" max="1" width="4.140625" style="5" customWidth="1"/>
    <col min="2" max="2" width="6.28515625" style="5" customWidth="1"/>
    <col min="3" max="3" width="16.5703125" style="5" customWidth="1"/>
    <col min="4" max="4" width="25" style="5" customWidth="1"/>
    <col min="5" max="5" width="40" style="5" customWidth="1"/>
    <col min="6" max="6" width="22" style="5" customWidth="1"/>
    <col min="7" max="7" width="20.85546875" style="5" customWidth="1"/>
    <col min="8" max="8" width="21.7109375" style="5" customWidth="1"/>
    <col min="9" max="9" width="29.7109375" style="5" customWidth="1"/>
    <col min="10" max="10" width="17.42578125" style="5" customWidth="1"/>
    <col min="11" max="11" width="31" style="5" customWidth="1"/>
    <col min="12" max="12" width="14.85546875" style="5" customWidth="1"/>
    <col min="13" max="13" width="13.140625" style="5" bestFit="1" customWidth="1"/>
    <col min="14" max="14" width="12.5703125" style="5" customWidth="1"/>
    <col min="15" max="15" width="11.85546875" style="5" bestFit="1" customWidth="1"/>
    <col min="16" max="16" width="13.85546875" style="5" bestFit="1" customWidth="1"/>
    <col min="17" max="21" width="11.85546875" style="5" bestFit="1" customWidth="1"/>
    <col min="22" max="22" width="11.7109375" style="5" bestFit="1" customWidth="1"/>
    <col min="23" max="16384" width="9.140625" style="5"/>
  </cols>
  <sheetData>
    <row r="1" spans="2:16" ht="15" x14ac:dyDescent="0.2">
      <c r="B1" s="212"/>
    </row>
    <row r="2" spans="2:16" ht="15" x14ac:dyDescent="0.2">
      <c r="B2" s="247" t="s">
        <v>303</v>
      </c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2:16" ht="15" x14ac:dyDescent="0.2">
      <c r="B3" s="247" t="s">
        <v>354</v>
      </c>
      <c r="C3" s="247"/>
      <c r="D3" s="247"/>
      <c r="E3" s="247"/>
      <c r="F3" s="247"/>
      <c r="G3" s="247"/>
      <c r="H3" s="247"/>
      <c r="I3" s="247"/>
      <c r="J3" s="247"/>
      <c r="K3" s="247"/>
      <c r="L3" s="247"/>
    </row>
    <row r="4" spans="2:16" ht="15" x14ac:dyDescent="0.2">
      <c r="B4" s="231" t="s">
        <v>242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</row>
    <row r="5" spans="2:16" ht="15" x14ac:dyDescent="0.2">
      <c r="K5" s="211"/>
    </row>
    <row r="6" spans="2:16" ht="75" x14ac:dyDescent="0.2">
      <c r="B6" s="248" t="s">
        <v>169</v>
      </c>
      <c r="C6" s="249" t="s">
        <v>217</v>
      </c>
      <c r="D6" s="157" t="s">
        <v>355</v>
      </c>
      <c r="E6" s="249" t="s">
        <v>218</v>
      </c>
      <c r="F6" s="157" t="s">
        <v>220</v>
      </c>
      <c r="G6" s="157" t="s">
        <v>356</v>
      </c>
      <c r="H6" s="157" t="s">
        <v>223</v>
      </c>
      <c r="I6" s="157" t="s">
        <v>357</v>
      </c>
      <c r="J6" s="249" t="s">
        <v>219</v>
      </c>
      <c r="K6" s="157" t="s">
        <v>224</v>
      </c>
      <c r="L6" s="157" t="s">
        <v>163</v>
      </c>
      <c r="M6" s="25"/>
      <c r="N6" s="25"/>
      <c r="O6" s="25"/>
      <c r="P6" s="25"/>
    </row>
    <row r="7" spans="2:16" ht="15" x14ac:dyDescent="0.2">
      <c r="B7" s="148"/>
      <c r="C7" s="250" t="s">
        <v>358</v>
      </c>
      <c r="D7" s="165"/>
      <c r="E7" s="165"/>
      <c r="F7" s="165"/>
      <c r="G7" s="165"/>
      <c r="H7" s="165"/>
      <c r="I7" s="165"/>
      <c r="J7" s="165"/>
      <c r="K7" s="165"/>
      <c r="L7" s="165"/>
    </row>
    <row r="8" spans="2:16" ht="30" x14ac:dyDescent="0.2">
      <c r="B8" s="249">
        <v>1</v>
      </c>
      <c r="C8" s="157" t="s">
        <v>358</v>
      </c>
      <c r="D8" s="213" t="s">
        <v>359</v>
      </c>
      <c r="E8" s="251" t="s">
        <v>360</v>
      </c>
      <c r="F8" s="252">
        <v>1.9833049</v>
      </c>
      <c r="G8" s="148"/>
      <c r="H8" s="253">
        <f t="shared" ref="H8:H13" si="0">F8</f>
        <v>1.9833049</v>
      </c>
      <c r="I8" s="160" t="s">
        <v>361</v>
      </c>
      <c r="J8" s="165"/>
      <c r="K8" s="213" t="s">
        <v>362</v>
      </c>
      <c r="L8" s="161"/>
    </row>
    <row r="9" spans="2:16" ht="15" x14ac:dyDescent="0.2">
      <c r="B9" s="249">
        <v>2</v>
      </c>
      <c r="C9" s="157" t="s">
        <v>358</v>
      </c>
      <c r="D9" s="249" t="s">
        <v>363</v>
      </c>
      <c r="E9" s="254" t="s">
        <v>364</v>
      </c>
      <c r="F9" s="252">
        <v>7.4367699999999995E-2</v>
      </c>
      <c r="G9" s="148"/>
      <c r="H9" s="253">
        <f t="shared" si="0"/>
        <v>7.4367699999999995E-2</v>
      </c>
      <c r="I9" s="255" t="s">
        <v>365</v>
      </c>
      <c r="J9" s="165"/>
      <c r="K9" s="213" t="s">
        <v>362</v>
      </c>
      <c r="L9" s="161"/>
    </row>
    <row r="10" spans="2:16" ht="30" x14ac:dyDescent="0.2">
      <c r="B10" s="249">
        <v>3</v>
      </c>
      <c r="C10" s="157" t="s">
        <v>358</v>
      </c>
      <c r="D10" s="249" t="s">
        <v>366</v>
      </c>
      <c r="E10" s="254" t="s">
        <v>367</v>
      </c>
      <c r="F10" s="252">
        <v>0.22508600000000001</v>
      </c>
      <c r="G10" s="148"/>
      <c r="H10" s="253">
        <f t="shared" si="0"/>
        <v>0.22508600000000001</v>
      </c>
      <c r="I10" s="255" t="s">
        <v>120</v>
      </c>
      <c r="J10" s="165"/>
      <c r="K10" s="213" t="s">
        <v>362</v>
      </c>
      <c r="L10" s="161"/>
    </row>
    <row r="11" spans="2:16" ht="15" x14ac:dyDescent="0.2">
      <c r="B11" s="249">
        <v>4</v>
      </c>
      <c r="C11" s="157" t="s">
        <v>358</v>
      </c>
      <c r="D11" s="249" t="s">
        <v>363</v>
      </c>
      <c r="E11" s="254" t="s">
        <v>368</v>
      </c>
      <c r="F11" s="252">
        <v>2.63352E-2</v>
      </c>
      <c r="G11" s="148"/>
      <c r="H11" s="253">
        <f t="shared" si="0"/>
        <v>2.63352E-2</v>
      </c>
      <c r="I11" s="255" t="s">
        <v>369</v>
      </c>
      <c r="J11" s="165"/>
      <c r="K11" s="213" t="s">
        <v>362</v>
      </c>
      <c r="L11" s="161"/>
    </row>
    <row r="12" spans="2:16" ht="15" x14ac:dyDescent="0.2">
      <c r="B12" s="249">
        <v>5</v>
      </c>
      <c r="C12" s="157" t="s">
        <v>358</v>
      </c>
      <c r="D12" s="249" t="s">
        <v>363</v>
      </c>
      <c r="E12" s="254" t="s">
        <v>370</v>
      </c>
      <c r="F12" s="252">
        <v>3.6512500000000003E-2</v>
      </c>
      <c r="G12" s="148"/>
      <c r="H12" s="253">
        <f t="shared" si="0"/>
        <v>3.6512500000000003E-2</v>
      </c>
      <c r="I12" s="255" t="s">
        <v>371</v>
      </c>
      <c r="J12" s="165"/>
      <c r="K12" s="213" t="s">
        <v>362</v>
      </c>
      <c r="L12" s="161"/>
    </row>
    <row r="13" spans="2:16" ht="30" x14ac:dyDescent="0.2">
      <c r="B13" s="249">
        <v>6</v>
      </c>
      <c r="C13" s="157" t="s">
        <v>358</v>
      </c>
      <c r="D13" s="249" t="s">
        <v>363</v>
      </c>
      <c r="E13" s="254" t="s">
        <v>372</v>
      </c>
      <c r="F13" s="252">
        <v>2.9951999999999999E-2</v>
      </c>
      <c r="G13" s="148"/>
      <c r="H13" s="253">
        <f t="shared" si="0"/>
        <v>2.9951999999999999E-2</v>
      </c>
      <c r="I13" s="255" t="s">
        <v>369</v>
      </c>
      <c r="J13" s="165"/>
      <c r="K13" s="213" t="s">
        <v>362</v>
      </c>
      <c r="L13" s="161"/>
    </row>
    <row r="14" spans="2:16" ht="15" customHeight="1" x14ac:dyDescent="0.2">
      <c r="B14" s="148"/>
      <c r="C14" s="256" t="s">
        <v>127</v>
      </c>
      <c r="D14" s="165"/>
      <c r="E14" s="257"/>
      <c r="F14" s="253">
        <f>SUM(F8:F13)</f>
        <v>2.3755583000000007</v>
      </c>
      <c r="G14" s="148"/>
      <c r="H14" s="253">
        <f>SUM(H8:H13)</f>
        <v>2.3755583000000007</v>
      </c>
      <c r="I14" s="148"/>
      <c r="J14" s="165"/>
      <c r="K14" s="165"/>
      <c r="L14" s="165"/>
    </row>
    <row r="15" spans="2:16" ht="15" x14ac:dyDescent="0.2">
      <c r="B15" s="148"/>
      <c r="C15" s="250" t="s">
        <v>373</v>
      </c>
      <c r="D15" s="165"/>
      <c r="E15" s="257"/>
      <c r="F15" s="165"/>
      <c r="G15" s="165"/>
      <c r="H15" s="165"/>
      <c r="I15" s="165"/>
      <c r="J15" s="165"/>
      <c r="K15" s="165"/>
      <c r="L15" s="165"/>
    </row>
    <row r="16" spans="2:16" ht="15" x14ac:dyDescent="0.2">
      <c r="B16" s="249">
        <v>1</v>
      </c>
      <c r="C16" s="157" t="s">
        <v>373</v>
      </c>
      <c r="D16" s="258"/>
      <c r="E16" s="251"/>
      <c r="F16" s="251"/>
      <c r="G16" s="251"/>
      <c r="H16" s="251"/>
      <c r="I16" s="251"/>
      <c r="J16" s="251"/>
      <c r="K16" s="251"/>
      <c r="L16" s="251"/>
    </row>
    <row r="17" spans="2:12" ht="15" x14ac:dyDescent="0.2">
      <c r="B17" s="249">
        <v>2</v>
      </c>
      <c r="C17" s="256"/>
      <c r="E17" s="258"/>
      <c r="F17" s="256"/>
      <c r="G17" s="256"/>
      <c r="H17" s="256"/>
      <c r="I17" s="258"/>
      <c r="J17" s="259"/>
      <c r="K17" s="258"/>
      <c r="L17" s="260"/>
    </row>
    <row r="18" spans="2:12" ht="15" x14ac:dyDescent="0.2">
      <c r="B18" s="249"/>
      <c r="C18" s="256" t="s">
        <v>127</v>
      </c>
      <c r="D18" s="165"/>
      <c r="E18" s="261"/>
      <c r="F18" s="256"/>
      <c r="G18" s="251"/>
      <c r="H18" s="251"/>
      <c r="I18" s="258"/>
      <c r="J18" s="259"/>
      <c r="K18" s="258"/>
      <c r="L18" s="260"/>
    </row>
    <row r="19" spans="2:12" ht="15" x14ac:dyDescent="0.2">
      <c r="B19" s="148"/>
      <c r="C19" s="250" t="s">
        <v>374</v>
      </c>
      <c r="D19" s="165"/>
      <c r="E19" s="165"/>
      <c r="F19" s="165"/>
      <c r="G19" s="165"/>
      <c r="H19" s="165"/>
      <c r="I19" s="165"/>
      <c r="J19" s="165"/>
      <c r="K19" s="165"/>
      <c r="L19" s="165"/>
    </row>
    <row r="20" spans="2:12" ht="15" x14ac:dyDescent="0.2">
      <c r="B20" s="249">
        <v>1</v>
      </c>
      <c r="C20" s="256" t="s">
        <v>374</v>
      </c>
      <c r="D20" s="258"/>
      <c r="E20" s="251"/>
      <c r="F20" s="256"/>
      <c r="G20" s="256"/>
      <c r="H20" s="256"/>
      <c r="I20" s="258"/>
      <c r="J20" s="259"/>
      <c r="K20" s="258"/>
      <c r="L20" s="260"/>
    </row>
    <row r="21" spans="2:12" ht="15" x14ac:dyDescent="0.2">
      <c r="B21" s="249">
        <v>2</v>
      </c>
      <c r="C21" s="256" t="s">
        <v>374</v>
      </c>
      <c r="E21" s="258"/>
      <c r="F21" s="256"/>
      <c r="G21" s="256"/>
      <c r="H21" s="256"/>
      <c r="I21" s="258"/>
      <c r="J21" s="259"/>
      <c r="K21" s="258"/>
      <c r="L21" s="260"/>
    </row>
    <row r="22" spans="2:12" ht="15" x14ac:dyDescent="0.2">
      <c r="B22" s="148">
        <v>3</v>
      </c>
      <c r="C22" s="148"/>
      <c r="D22" s="165"/>
      <c r="E22" s="165"/>
      <c r="F22" s="165"/>
      <c r="G22" s="165"/>
      <c r="H22" s="249"/>
      <c r="I22" s="165"/>
      <c r="J22" s="165"/>
      <c r="K22" s="165"/>
      <c r="L22" s="165"/>
    </row>
    <row r="23" spans="2:12" ht="15" x14ac:dyDescent="0.2">
      <c r="B23" s="165"/>
      <c r="C23" s="165" t="s">
        <v>9</v>
      </c>
      <c r="D23" s="165"/>
      <c r="E23" s="165"/>
      <c r="F23" s="165"/>
      <c r="G23" s="165"/>
      <c r="H23" s="249"/>
      <c r="I23" s="165"/>
      <c r="J23" s="165"/>
      <c r="K23" s="165"/>
      <c r="L23" s="165"/>
    </row>
    <row r="24" spans="2:12" ht="15" x14ac:dyDescent="0.2">
      <c r="B24" s="165"/>
      <c r="C24" s="249" t="s">
        <v>127</v>
      </c>
      <c r="D24" s="165"/>
      <c r="E24" s="165"/>
      <c r="F24" s="165"/>
      <c r="G24" s="165"/>
      <c r="H24" s="249"/>
      <c r="I24" s="165"/>
      <c r="J24" s="165"/>
      <c r="K24" s="165"/>
      <c r="L24" s="165"/>
    </row>
    <row r="25" spans="2:12" x14ac:dyDescent="0.2">
      <c r="B25" s="62" t="s">
        <v>221</v>
      </c>
      <c r="C25" s="50" t="s">
        <v>222</v>
      </c>
    </row>
  </sheetData>
  <mergeCells count="3">
    <mergeCell ref="B2:L2"/>
    <mergeCell ref="B3:L3"/>
    <mergeCell ref="B4:L4"/>
  </mergeCells>
  <pageMargins left="0.27" right="0.25" top="1" bottom="1" header="0.25" footer="0.25"/>
  <pageSetup paperSize="9" scale="58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view="pageBreakPreview" topLeftCell="A3" zoomScaleSheetLayoutView="100" workbookViewId="0">
      <selection activeCell="D9" sqref="D9"/>
    </sheetView>
  </sheetViews>
  <sheetFormatPr defaultColWidth="9.28515625" defaultRowHeight="14.25" x14ac:dyDescent="0.2"/>
  <cols>
    <col min="1" max="2" width="9.28515625" style="84"/>
    <col min="3" max="3" width="42" style="84" customWidth="1"/>
    <col min="4" max="4" width="16.28515625" style="84" customWidth="1"/>
    <col min="5" max="5" width="12.5703125" style="84" customWidth="1"/>
    <col min="6" max="6" width="16.28515625" style="84" customWidth="1"/>
    <col min="7" max="16384" width="9.28515625" style="84"/>
  </cols>
  <sheetData>
    <row r="2" spans="2:6" ht="15" x14ac:dyDescent="0.2">
      <c r="D2" s="32" t="s">
        <v>303</v>
      </c>
    </row>
    <row r="3" spans="2:6" ht="15" x14ac:dyDescent="0.2">
      <c r="D3" s="32" t="str">
        <f>'F1'!$F$3</f>
        <v>Nagarjuna Sagar HES</v>
      </c>
    </row>
    <row r="4" spans="2:6" ht="15" x14ac:dyDescent="0.2">
      <c r="D4" s="35" t="s">
        <v>267</v>
      </c>
    </row>
    <row r="6" spans="2:6" ht="15" customHeight="1" x14ac:dyDescent="0.2">
      <c r="B6" s="226" t="s">
        <v>169</v>
      </c>
      <c r="C6" s="238" t="s">
        <v>18</v>
      </c>
      <c r="D6" s="226" t="s">
        <v>304</v>
      </c>
      <c r="E6" s="117" t="s">
        <v>333</v>
      </c>
      <c r="F6" s="15" t="s">
        <v>332</v>
      </c>
    </row>
    <row r="7" spans="2:6" ht="15" x14ac:dyDescent="0.2">
      <c r="B7" s="226"/>
      <c r="C7" s="238"/>
      <c r="D7" s="226"/>
      <c r="E7" s="15" t="s">
        <v>210</v>
      </c>
      <c r="F7" s="15" t="s">
        <v>200</v>
      </c>
    </row>
    <row r="8" spans="2:6" ht="15" x14ac:dyDescent="0.2">
      <c r="B8" s="226"/>
      <c r="C8" s="238"/>
      <c r="D8" s="85" t="s">
        <v>3</v>
      </c>
      <c r="E8" s="15" t="s">
        <v>5</v>
      </c>
      <c r="F8" s="15" t="s">
        <v>8</v>
      </c>
    </row>
    <row r="9" spans="2:6" ht="15" x14ac:dyDescent="0.2">
      <c r="B9" s="86">
        <v>1</v>
      </c>
      <c r="C9" s="28" t="s">
        <v>268</v>
      </c>
      <c r="D9" s="92">
        <f>'F3'!E12</f>
        <v>2.38</v>
      </c>
      <c r="E9" s="92">
        <f>F3.1!H18</f>
        <v>0</v>
      </c>
      <c r="F9" s="92">
        <f>F3.1!H24</f>
        <v>0</v>
      </c>
    </row>
    <row r="10" spans="2:6" x14ac:dyDescent="0.2">
      <c r="B10" s="28"/>
      <c r="C10" s="28"/>
      <c r="D10" s="89"/>
      <c r="E10" s="89"/>
      <c r="F10" s="89"/>
    </row>
    <row r="11" spans="2:6" ht="15" x14ac:dyDescent="0.2">
      <c r="B11" s="86">
        <v>2</v>
      </c>
      <c r="C11" s="87" t="s">
        <v>164</v>
      </c>
      <c r="D11" s="89"/>
      <c r="E11" s="89"/>
      <c r="F11" s="89"/>
    </row>
    <row r="12" spans="2:6" x14ac:dyDescent="0.2">
      <c r="B12" s="28"/>
      <c r="C12" s="28" t="s">
        <v>168</v>
      </c>
      <c r="D12" s="89"/>
      <c r="E12" s="89"/>
      <c r="F12" s="89"/>
    </row>
    <row r="13" spans="2:6" x14ac:dyDescent="0.2">
      <c r="B13" s="28"/>
      <c r="C13" s="28" t="s">
        <v>167</v>
      </c>
      <c r="D13" s="89"/>
      <c r="E13" s="89"/>
      <c r="F13" s="89"/>
    </row>
    <row r="14" spans="2:6" x14ac:dyDescent="0.2">
      <c r="B14" s="28"/>
      <c r="C14" s="28" t="s">
        <v>9</v>
      </c>
      <c r="D14" s="89"/>
      <c r="E14" s="89"/>
      <c r="F14" s="89"/>
    </row>
    <row r="15" spans="2:6" ht="15" x14ac:dyDescent="0.2">
      <c r="B15" s="28"/>
      <c r="C15" s="87" t="s">
        <v>162</v>
      </c>
      <c r="D15" s="92">
        <f>SUM(D12:D14)</f>
        <v>0</v>
      </c>
      <c r="E15" s="92">
        <f>SUM(E12:E14)</f>
        <v>0</v>
      </c>
      <c r="F15" s="92">
        <f>SUM(F12:F14)</f>
        <v>0</v>
      </c>
    </row>
    <row r="16" spans="2:6" x14ac:dyDescent="0.2">
      <c r="B16" s="28"/>
      <c r="C16" s="28"/>
      <c r="D16" s="89"/>
      <c r="E16" s="89"/>
      <c r="F16" s="89"/>
    </row>
    <row r="17" spans="2:6" x14ac:dyDescent="0.2">
      <c r="B17" s="86">
        <v>3</v>
      </c>
      <c r="C17" s="28" t="s">
        <v>0</v>
      </c>
      <c r="D17" s="89"/>
      <c r="E17" s="89"/>
      <c r="F17" s="89"/>
    </row>
    <row r="18" spans="2:6" x14ac:dyDescent="0.2">
      <c r="B18" s="86">
        <v>4</v>
      </c>
      <c r="C18" s="28" t="s">
        <v>165</v>
      </c>
      <c r="D18" s="89">
        <f>D9</f>
        <v>2.38</v>
      </c>
      <c r="E18" s="89"/>
      <c r="F18" s="89">
        <f>F9</f>
        <v>0</v>
      </c>
    </row>
    <row r="19" spans="2:6" x14ac:dyDescent="0.2">
      <c r="B19" s="86">
        <v>5</v>
      </c>
      <c r="C19" s="28" t="s">
        <v>269</v>
      </c>
      <c r="D19" s="89"/>
      <c r="E19" s="89"/>
      <c r="F19" s="89"/>
    </row>
    <row r="20" spans="2:6" ht="15" x14ac:dyDescent="0.2">
      <c r="B20" s="28"/>
      <c r="C20" s="28"/>
      <c r="D20" s="90"/>
      <c r="E20" s="90"/>
      <c r="F20" s="90"/>
    </row>
    <row r="21" spans="2:6" ht="15" x14ac:dyDescent="0.2">
      <c r="B21" s="86">
        <v>6</v>
      </c>
      <c r="C21" s="87" t="s">
        <v>270</v>
      </c>
      <c r="D21" s="92">
        <f>D15+D17+D18+D19</f>
        <v>2.38</v>
      </c>
      <c r="E21" s="92">
        <f>SUM(E18:E20)</f>
        <v>0</v>
      </c>
      <c r="F21" s="92">
        <f>F15+F17+F18+F19</f>
        <v>0</v>
      </c>
    </row>
  </sheetData>
  <mergeCells count="3">
    <mergeCell ref="D6:D7"/>
    <mergeCell ref="B6:B8"/>
    <mergeCell ref="C6:C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'F7'!Print_Area</vt:lpstr>
      <vt:lpstr>'F8'!Print_Area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2025-11-28T12:28:47Z</cp:lastPrinted>
  <dcterms:created xsi:type="dcterms:W3CDTF">2004-07-28T05:30:50Z</dcterms:created>
  <dcterms:modified xsi:type="dcterms:W3CDTF">2025-12-16T10:46:47Z</dcterms:modified>
</cp:coreProperties>
</file>